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tabRatio="722" activeTab="6"/>
  </bookViews>
  <sheets>
    <sheet name="хоз.быт.потр." sheetId="1" r:id="rId1"/>
    <sheet name="ком.быт.потр." sheetId="2" r:id="rId2"/>
    <sheet name="расход газа" sheetId="3" r:id="rId3"/>
    <sheet name="ГРП" sheetId="4" r:id="rId4"/>
    <sheet name="уд. пут. расходы " sheetId="5" r:id="rId5"/>
    <sheet name="Узловой расход" sheetId="6" r:id="rId6"/>
    <sheet name="Гидравлика" sheetId="7" r:id="rId7"/>
  </sheets>
  <definedNames/>
  <calcPr fullCalcOnLoad="1"/>
</workbook>
</file>

<file path=xl/sharedStrings.xml><?xml version="1.0" encoding="utf-8"?>
<sst xmlns="http://schemas.openxmlformats.org/spreadsheetml/2006/main" count="248" uniqueCount="148">
  <si>
    <t>Хозяйственно-бытовое потребление</t>
  </si>
  <si>
    <t>Площадь квартала, га</t>
  </si>
  <si>
    <t>Число жителей, чел</t>
  </si>
  <si>
    <t>I квартал</t>
  </si>
  <si>
    <t>II квартал</t>
  </si>
  <si>
    <t>III квартал</t>
  </si>
  <si>
    <t>VI квартал</t>
  </si>
  <si>
    <t>V квартал</t>
  </si>
  <si>
    <t>а,м</t>
  </si>
  <si>
    <t>в,м</t>
  </si>
  <si>
    <t>плотность населения, чел/га</t>
  </si>
  <si>
    <t>Жилая площадь в квартале, м2</t>
  </si>
  <si>
    <r>
      <t>Норма жилой площади,м</t>
    </r>
    <r>
      <rPr>
        <b/>
        <vertAlign val="super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>/чел</t>
    </r>
  </si>
  <si>
    <t>Наимен. потреб.</t>
  </si>
  <si>
    <t>Расчетный показатель</t>
  </si>
  <si>
    <t>Число потребителей</t>
  </si>
  <si>
    <t>Бельё, т/год</t>
  </si>
  <si>
    <t>Число помывок в год</t>
  </si>
  <si>
    <t>Число мест</t>
  </si>
  <si>
    <t>4. Столовая</t>
  </si>
  <si>
    <t>Обедов в год</t>
  </si>
  <si>
    <t>т/год</t>
  </si>
  <si>
    <t xml:space="preserve"> Коммунально-бытовое потребление</t>
  </si>
  <si>
    <t>Норма на 1 чел в год, кг/год</t>
  </si>
  <si>
    <t>Фабрика-прачечная</t>
  </si>
  <si>
    <t>%,польз. Предпр.</t>
  </si>
  <si>
    <t xml:space="preserve"> Баня</t>
  </si>
  <si>
    <t>кол.помывок в год</t>
  </si>
  <si>
    <t>Больница</t>
  </si>
  <si>
    <t>кол.койкомест</t>
  </si>
  <si>
    <t>на кол. чел.</t>
  </si>
  <si>
    <t>%,ходящих по столов.</t>
  </si>
  <si>
    <t>кол. дней в году</t>
  </si>
  <si>
    <t xml:space="preserve"> Столовые и рестораны</t>
  </si>
  <si>
    <t>Хлебопекарные предприятия</t>
  </si>
  <si>
    <t>норма выпечки, т/сут</t>
  </si>
  <si>
    <t>1. Фабрика-прачечная</t>
  </si>
  <si>
    <t>2. Баня</t>
  </si>
  <si>
    <t>3. Больница</t>
  </si>
  <si>
    <t>5.Хлебопек. предпр.</t>
  </si>
  <si>
    <t>Всего</t>
  </si>
  <si>
    <t>Наименов. потребит.</t>
  </si>
  <si>
    <r>
      <t>Q</t>
    </r>
    <r>
      <rPr>
        <vertAlign val="subscript"/>
        <sz val="11"/>
        <rFont val="Times New Roman"/>
        <family val="1"/>
      </rPr>
      <t>н</t>
    </r>
    <r>
      <rPr>
        <vertAlign val="superscript"/>
        <sz val="11"/>
        <rFont val="Times New Roman"/>
        <family val="1"/>
      </rPr>
      <t>р</t>
    </r>
    <r>
      <rPr>
        <sz val="11"/>
        <rFont val="Times New Roman"/>
        <family val="1"/>
      </rPr>
      <t>, кДж/м</t>
    </r>
    <r>
      <rPr>
        <vertAlign val="superscript"/>
        <sz val="11"/>
        <rFont val="Times New Roman"/>
        <family val="1"/>
      </rPr>
      <t>3</t>
    </r>
  </si>
  <si>
    <r>
      <t>Q</t>
    </r>
    <r>
      <rPr>
        <vertAlign val="subscript"/>
        <sz val="11"/>
        <rFont val="Times New Roman"/>
        <family val="1"/>
      </rPr>
      <t>быт</t>
    </r>
    <r>
      <rPr>
        <sz val="11"/>
        <rFont val="Times New Roman"/>
        <family val="1"/>
      </rPr>
      <t xml:space="preserve"> </t>
    </r>
    <r>
      <rPr>
        <vertAlign val="superscript"/>
        <sz val="11"/>
        <rFont val="Times New Roman"/>
        <family val="1"/>
      </rPr>
      <t>год</t>
    </r>
    <r>
      <rPr>
        <sz val="11"/>
        <rFont val="Times New Roman"/>
        <family val="1"/>
      </rPr>
      <t>, кДж/год</t>
    </r>
  </si>
  <si>
    <r>
      <t xml:space="preserve">V </t>
    </r>
    <r>
      <rPr>
        <vertAlign val="subscript"/>
        <sz val="11"/>
        <rFont val="Times New Roman"/>
        <family val="1"/>
      </rPr>
      <t>быт</t>
    </r>
    <r>
      <rPr>
        <sz val="11"/>
        <rFont val="Times New Roman"/>
        <family val="1"/>
      </rPr>
      <t xml:space="preserve"> </t>
    </r>
    <r>
      <rPr>
        <vertAlign val="superscript"/>
        <sz val="11"/>
        <rFont val="Times New Roman"/>
        <family val="1"/>
      </rPr>
      <t>год</t>
    </r>
    <r>
      <rPr>
        <sz val="11"/>
        <rFont val="Times New Roman"/>
        <family val="1"/>
      </rPr>
      <t>,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/ч</t>
    </r>
  </si>
  <si>
    <r>
      <t xml:space="preserve">V </t>
    </r>
    <r>
      <rPr>
        <vertAlign val="subscript"/>
        <sz val="11"/>
        <rFont val="Times New Roman"/>
        <family val="1"/>
      </rPr>
      <t>мех</t>
    </r>
    <r>
      <rPr>
        <sz val="11"/>
        <rFont val="Times New Roman"/>
        <family val="1"/>
      </rPr>
      <t xml:space="preserve"> </t>
    </r>
    <r>
      <rPr>
        <vertAlign val="superscript"/>
        <sz val="11"/>
        <rFont val="Times New Roman"/>
        <family val="1"/>
      </rPr>
      <t>пр.год</t>
    </r>
    <r>
      <rPr>
        <sz val="11"/>
        <rFont val="Times New Roman"/>
        <family val="1"/>
      </rPr>
      <t>,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/год</t>
    </r>
  </si>
  <si>
    <r>
      <t xml:space="preserve">V </t>
    </r>
    <r>
      <rPr>
        <vertAlign val="subscript"/>
        <sz val="11"/>
        <rFont val="Times New Roman"/>
        <family val="1"/>
      </rPr>
      <t>мех</t>
    </r>
    <r>
      <rPr>
        <sz val="11"/>
        <rFont val="Times New Roman"/>
        <family val="1"/>
      </rPr>
      <t xml:space="preserve"> </t>
    </r>
    <r>
      <rPr>
        <vertAlign val="superscript"/>
        <sz val="11"/>
        <rFont val="Times New Roman"/>
        <family val="1"/>
      </rPr>
      <t>пр.час</t>
    </r>
    <r>
      <rPr>
        <sz val="11"/>
        <rFont val="Times New Roman"/>
        <family val="1"/>
      </rPr>
      <t>,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/час</t>
    </r>
  </si>
  <si>
    <r>
      <t xml:space="preserve">V </t>
    </r>
    <r>
      <rPr>
        <vertAlign val="subscript"/>
        <sz val="11"/>
        <rFont val="Times New Roman"/>
        <family val="1"/>
      </rPr>
      <t>бани</t>
    </r>
    <r>
      <rPr>
        <sz val="11"/>
        <rFont val="Times New Roman"/>
        <family val="1"/>
      </rPr>
      <t xml:space="preserve"> </t>
    </r>
    <r>
      <rPr>
        <vertAlign val="superscript"/>
        <sz val="11"/>
        <rFont val="Times New Roman"/>
        <family val="1"/>
      </rPr>
      <t>год</t>
    </r>
    <r>
      <rPr>
        <sz val="11"/>
        <rFont val="Times New Roman"/>
        <family val="1"/>
      </rPr>
      <t>,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/год</t>
    </r>
  </si>
  <si>
    <r>
      <t xml:space="preserve">V </t>
    </r>
    <r>
      <rPr>
        <vertAlign val="subscript"/>
        <sz val="11"/>
        <rFont val="Times New Roman"/>
        <family val="1"/>
      </rPr>
      <t>бани</t>
    </r>
    <r>
      <rPr>
        <sz val="11"/>
        <rFont val="Times New Roman"/>
        <family val="1"/>
      </rPr>
      <t xml:space="preserve"> </t>
    </r>
    <r>
      <rPr>
        <vertAlign val="superscript"/>
        <sz val="11"/>
        <rFont val="Times New Roman"/>
        <family val="1"/>
      </rPr>
      <t>час</t>
    </r>
    <r>
      <rPr>
        <sz val="11"/>
        <rFont val="Times New Roman"/>
        <family val="1"/>
      </rPr>
      <t>,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/час</t>
    </r>
  </si>
  <si>
    <r>
      <t xml:space="preserve">V </t>
    </r>
    <r>
      <rPr>
        <vertAlign val="subscript"/>
        <sz val="11"/>
        <rFont val="Times New Roman"/>
        <family val="1"/>
      </rPr>
      <t>об.пит.</t>
    </r>
    <r>
      <rPr>
        <vertAlign val="superscript"/>
        <sz val="11"/>
        <rFont val="Times New Roman"/>
        <family val="1"/>
      </rPr>
      <t>год</t>
    </r>
    <r>
      <rPr>
        <sz val="11"/>
        <rFont val="Times New Roman"/>
        <family val="1"/>
      </rPr>
      <t>,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/год</t>
    </r>
  </si>
  <si>
    <r>
      <t xml:space="preserve">V </t>
    </r>
    <r>
      <rPr>
        <vertAlign val="subscript"/>
        <sz val="11"/>
        <rFont val="Times New Roman"/>
        <family val="1"/>
      </rPr>
      <t>об.пит.</t>
    </r>
    <r>
      <rPr>
        <sz val="11"/>
        <rFont val="Times New Roman"/>
        <family val="1"/>
      </rPr>
      <t xml:space="preserve"> </t>
    </r>
    <r>
      <rPr>
        <vertAlign val="superscript"/>
        <sz val="11"/>
        <rFont val="Times New Roman"/>
        <family val="1"/>
      </rPr>
      <t>час</t>
    </r>
    <r>
      <rPr>
        <sz val="11"/>
        <rFont val="Times New Roman"/>
        <family val="1"/>
      </rPr>
      <t>,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/час</t>
    </r>
  </si>
  <si>
    <r>
      <t xml:space="preserve">V </t>
    </r>
    <r>
      <rPr>
        <vertAlign val="subscript"/>
        <sz val="11"/>
        <rFont val="Times New Roman"/>
        <family val="1"/>
      </rPr>
      <t>хлеб</t>
    </r>
    <r>
      <rPr>
        <vertAlign val="superscript"/>
        <sz val="11"/>
        <rFont val="Times New Roman"/>
        <family val="1"/>
      </rPr>
      <t>год</t>
    </r>
    <r>
      <rPr>
        <sz val="11"/>
        <rFont val="Times New Roman"/>
        <family val="1"/>
      </rPr>
      <t>,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/год</t>
    </r>
  </si>
  <si>
    <r>
      <t xml:space="preserve">V </t>
    </r>
    <r>
      <rPr>
        <vertAlign val="subscript"/>
        <sz val="11"/>
        <rFont val="Times New Roman"/>
        <family val="1"/>
      </rPr>
      <t>хлеб</t>
    </r>
    <r>
      <rPr>
        <sz val="11"/>
        <rFont val="Times New Roman"/>
        <family val="1"/>
      </rPr>
      <t xml:space="preserve"> </t>
    </r>
    <r>
      <rPr>
        <vertAlign val="superscript"/>
        <sz val="11"/>
        <rFont val="Times New Roman"/>
        <family val="1"/>
      </rPr>
      <t>час</t>
    </r>
    <r>
      <rPr>
        <sz val="11"/>
        <rFont val="Times New Roman"/>
        <family val="1"/>
      </rPr>
      <t>,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/час</t>
    </r>
  </si>
  <si>
    <r>
      <t xml:space="preserve">V </t>
    </r>
    <r>
      <rPr>
        <vertAlign val="subscript"/>
        <sz val="11"/>
        <rFont val="Times New Roman"/>
        <family val="1"/>
      </rPr>
      <t>мед.</t>
    </r>
    <r>
      <rPr>
        <vertAlign val="superscript"/>
        <sz val="11"/>
        <rFont val="Times New Roman"/>
        <family val="1"/>
      </rPr>
      <t>год</t>
    </r>
    <r>
      <rPr>
        <sz val="11"/>
        <rFont val="Times New Roman"/>
        <family val="1"/>
      </rPr>
      <t>,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/год</t>
    </r>
  </si>
  <si>
    <r>
      <t xml:space="preserve">V </t>
    </r>
    <r>
      <rPr>
        <vertAlign val="subscript"/>
        <sz val="11"/>
        <rFont val="Times New Roman"/>
        <family val="1"/>
      </rPr>
      <t>мед.</t>
    </r>
    <r>
      <rPr>
        <sz val="11"/>
        <rFont val="Times New Roman"/>
        <family val="1"/>
      </rPr>
      <t xml:space="preserve"> </t>
    </r>
    <r>
      <rPr>
        <vertAlign val="superscript"/>
        <sz val="11"/>
        <rFont val="Times New Roman"/>
        <family val="1"/>
      </rPr>
      <t>час</t>
    </r>
    <r>
      <rPr>
        <sz val="11"/>
        <rFont val="Times New Roman"/>
        <family val="1"/>
      </rPr>
      <t>,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/час</t>
    </r>
  </si>
  <si>
    <r>
      <t>Vком-быт</t>
    </r>
    <r>
      <rPr>
        <vertAlign val="superscript"/>
        <sz val="11"/>
        <rFont val="Times New Roman"/>
        <family val="1"/>
      </rPr>
      <t>час</t>
    </r>
    <r>
      <rPr>
        <sz val="11"/>
        <rFont val="Times New Roman"/>
        <family val="1"/>
      </rPr>
      <t>,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/час</t>
    </r>
  </si>
  <si>
    <r>
      <t xml:space="preserve">V </t>
    </r>
    <r>
      <rPr>
        <vertAlign val="subscript"/>
        <sz val="11"/>
        <rFont val="Times New Roman"/>
        <family val="1"/>
      </rPr>
      <t>отопл</t>
    </r>
    <r>
      <rPr>
        <sz val="11"/>
        <rFont val="Times New Roman"/>
        <family val="1"/>
      </rPr>
      <t xml:space="preserve"> </t>
    </r>
    <r>
      <rPr>
        <vertAlign val="superscript"/>
        <sz val="11"/>
        <rFont val="Times New Roman"/>
        <family val="1"/>
      </rPr>
      <t>час</t>
    </r>
    <r>
      <rPr>
        <sz val="11"/>
        <rFont val="Times New Roman"/>
        <family val="1"/>
      </rPr>
      <t>,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/час</t>
    </r>
  </si>
  <si>
    <r>
      <t>Q</t>
    </r>
    <r>
      <rPr>
        <vertAlign val="subscript"/>
        <sz val="11"/>
        <rFont val="Times New Roman"/>
        <family val="1"/>
      </rPr>
      <t>вент</t>
    </r>
    <r>
      <rPr>
        <vertAlign val="superscript"/>
        <sz val="11"/>
        <rFont val="Times New Roman"/>
        <family val="1"/>
      </rPr>
      <t>час</t>
    </r>
    <r>
      <rPr>
        <sz val="11"/>
        <rFont val="Times New Roman"/>
        <family val="1"/>
      </rPr>
      <t xml:space="preserve"> ,кДж/час</t>
    </r>
  </si>
  <si>
    <r>
      <t>Q</t>
    </r>
    <r>
      <rPr>
        <vertAlign val="subscript"/>
        <sz val="11"/>
        <rFont val="Times New Roman"/>
        <family val="1"/>
      </rPr>
      <t>о</t>
    </r>
    <r>
      <rPr>
        <vertAlign val="superscript"/>
        <sz val="11"/>
        <rFont val="Times New Roman"/>
        <family val="1"/>
      </rPr>
      <t>м.р.</t>
    </r>
    <r>
      <rPr>
        <sz val="11"/>
        <rFont val="Times New Roman"/>
        <family val="1"/>
      </rPr>
      <t xml:space="preserve"> ,кДж/час</t>
    </r>
  </si>
  <si>
    <r>
      <t xml:space="preserve">V </t>
    </r>
    <r>
      <rPr>
        <vertAlign val="subscript"/>
        <sz val="11"/>
        <rFont val="Times New Roman"/>
        <family val="1"/>
      </rPr>
      <t>вент</t>
    </r>
    <r>
      <rPr>
        <vertAlign val="superscript"/>
        <sz val="11"/>
        <rFont val="Times New Roman"/>
        <family val="1"/>
      </rPr>
      <t>час</t>
    </r>
    <r>
      <rPr>
        <sz val="11"/>
        <rFont val="Times New Roman"/>
        <family val="1"/>
      </rPr>
      <t>,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/час</t>
    </r>
  </si>
  <si>
    <r>
      <t>Q</t>
    </r>
    <r>
      <rPr>
        <vertAlign val="subscript"/>
        <sz val="11"/>
        <rFont val="Times New Roman"/>
        <family val="1"/>
      </rPr>
      <t>ГВ</t>
    </r>
    <r>
      <rPr>
        <vertAlign val="superscript"/>
        <sz val="11"/>
        <rFont val="Times New Roman"/>
        <family val="1"/>
      </rPr>
      <t>час</t>
    </r>
    <r>
      <rPr>
        <sz val="11"/>
        <rFont val="Times New Roman"/>
        <family val="1"/>
      </rPr>
      <t xml:space="preserve"> ,кДж/час</t>
    </r>
  </si>
  <si>
    <r>
      <t>Q</t>
    </r>
    <r>
      <rPr>
        <vertAlign val="subscript"/>
        <sz val="11"/>
        <rFont val="Times New Roman"/>
        <family val="1"/>
      </rPr>
      <t>ГВ</t>
    </r>
    <r>
      <rPr>
        <vertAlign val="superscript"/>
        <sz val="11"/>
        <rFont val="Times New Roman"/>
        <family val="1"/>
      </rPr>
      <t>ч</t>
    </r>
    <r>
      <rPr>
        <sz val="11"/>
        <rFont val="Times New Roman"/>
        <family val="1"/>
      </rPr>
      <t xml:space="preserve"> ,кДж/час</t>
    </r>
  </si>
  <si>
    <r>
      <t>Бытовое потребление, быт. м</t>
    </r>
    <r>
      <rPr>
        <b/>
        <vertAlign val="superscript"/>
        <sz val="11"/>
        <color indexed="8"/>
        <rFont val="Times New Roman"/>
        <family val="1"/>
      </rPr>
      <t>3</t>
    </r>
    <r>
      <rPr>
        <b/>
        <sz val="11"/>
        <color indexed="8"/>
        <rFont val="Times New Roman"/>
        <family val="1"/>
      </rPr>
      <t>/ч</t>
    </r>
  </si>
  <si>
    <r>
      <t>Коммун.-бытовое, ком-быт.,м</t>
    </r>
    <r>
      <rPr>
        <b/>
        <vertAlign val="superscript"/>
        <sz val="11"/>
        <color indexed="8"/>
        <rFont val="Times New Roman"/>
        <family val="1"/>
      </rPr>
      <t>3</t>
    </r>
    <r>
      <rPr>
        <b/>
        <sz val="11"/>
        <color indexed="8"/>
        <rFont val="Times New Roman"/>
        <family val="1"/>
      </rPr>
      <t>/ч</t>
    </r>
  </si>
  <si>
    <r>
      <t>Центр, отопл., м</t>
    </r>
    <r>
      <rPr>
        <b/>
        <vertAlign val="superscript"/>
        <sz val="11"/>
        <color indexed="8"/>
        <rFont val="Times New Roman"/>
        <family val="1"/>
      </rPr>
      <t>3</t>
    </r>
    <r>
      <rPr>
        <b/>
        <sz val="11"/>
        <color indexed="8"/>
        <rFont val="Times New Roman"/>
        <family val="1"/>
      </rPr>
      <t>/ч</t>
    </r>
  </si>
  <si>
    <r>
      <t>Вентил., м</t>
    </r>
    <r>
      <rPr>
        <b/>
        <vertAlign val="superscript"/>
        <sz val="11"/>
        <color indexed="8"/>
        <rFont val="Times New Roman"/>
        <family val="1"/>
      </rPr>
      <t>3</t>
    </r>
    <r>
      <rPr>
        <b/>
        <sz val="11"/>
        <color indexed="8"/>
        <rFont val="Times New Roman"/>
        <family val="1"/>
      </rPr>
      <t>/ч</t>
    </r>
  </si>
  <si>
    <r>
      <t>Центр. Горячее водоснаб­жение Г.В. м</t>
    </r>
    <r>
      <rPr>
        <b/>
        <vertAlign val="superscript"/>
        <sz val="11"/>
        <color indexed="8"/>
        <rFont val="Times New Roman"/>
        <family val="1"/>
      </rPr>
      <t>3</t>
    </r>
    <r>
      <rPr>
        <b/>
        <sz val="11"/>
        <color indexed="8"/>
        <rFont val="Times New Roman"/>
        <family val="1"/>
      </rPr>
      <t>/ч</t>
    </r>
  </si>
  <si>
    <r>
      <t>Центр. Теплоснаб­жение, м</t>
    </r>
    <r>
      <rPr>
        <b/>
        <vertAlign val="superscript"/>
        <sz val="11"/>
        <color indexed="8"/>
        <rFont val="Times New Roman"/>
        <family val="1"/>
      </rPr>
      <t>3</t>
    </r>
    <r>
      <rPr>
        <b/>
        <sz val="11"/>
        <color indexed="8"/>
        <rFont val="Times New Roman"/>
        <family val="1"/>
      </rPr>
      <t>/ч</t>
    </r>
  </si>
  <si>
    <r>
      <t>Сумарн. по кварталу, м</t>
    </r>
    <r>
      <rPr>
        <b/>
        <vertAlign val="superscript"/>
        <sz val="11"/>
        <color indexed="8"/>
        <rFont val="Times New Roman"/>
        <family val="1"/>
      </rPr>
      <t>3</t>
    </r>
    <r>
      <rPr>
        <b/>
        <sz val="11"/>
        <color indexed="8"/>
        <rFont val="Times New Roman"/>
        <family val="1"/>
      </rPr>
      <t>/ч</t>
    </r>
  </si>
  <si>
    <t>IV квартал</t>
  </si>
  <si>
    <t>m</t>
  </si>
  <si>
    <t>l</t>
  </si>
  <si>
    <r>
      <t>n</t>
    </r>
    <r>
      <rPr>
        <vertAlign val="subscript"/>
        <sz val="10"/>
        <rFont val="Arial Cyr"/>
        <family val="0"/>
      </rPr>
      <t>опт</t>
    </r>
  </si>
  <si>
    <t>Расчётные часовые расходы газа по микрорайону</t>
  </si>
  <si>
    <t>Наименование потребителей</t>
  </si>
  <si>
    <t>На хозяйственно-бытовое потребление, м3/ч</t>
  </si>
  <si>
    <t>На центральное теплоснабжение (сосредоточенные расходы), м3/ч</t>
  </si>
  <si>
    <t>На коммунально-бытовое потребление,м3/ч</t>
  </si>
  <si>
    <t xml:space="preserve">Суммарный расчётный
расход, м3/ч 
</t>
  </si>
  <si>
    <t>Суммарный расчётный расход на сети низкого давлениия,м3/ч</t>
  </si>
  <si>
    <t>Длина питающего контура, 1i, м</t>
  </si>
  <si>
    <t xml:space="preserve">Удельный путевой расход, qi
м3/(ч*м)
</t>
  </si>
  <si>
    <t>-</t>
  </si>
  <si>
    <t>№ расчётных участков</t>
  </si>
  <si>
    <t>Длина участка по плану, м</t>
  </si>
  <si>
    <t>Vпут, м3/ч</t>
  </si>
  <si>
    <t>№ узла</t>
  </si>
  <si>
    <t>Узловой расход газа Vуз, м3/ч</t>
  </si>
  <si>
    <t>Расчётный расход газа Vp, м /ч</t>
  </si>
  <si>
    <t>1-2</t>
  </si>
  <si>
    <t>1-8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</si>
  <si>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</si>
  <si>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</si>
  <si>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</si>
  <si>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</si>
  <si>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</si>
  <si>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</si>
  <si>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</si>
  <si>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</si>
  <si>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</si>
  <si>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2-6</t>
  </si>
  <si>
    <t>3-11</t>
  </si>
  <si>
    <t>8-11</t>
  </si>
  <si>
    <t>ГРП-1</t>
  </si>
  <si>
    <t xml:space="preserve">Транзитный расход на участке Vтр, м3/ч; </t>
  </si>
  <si>
    <t>Сумма</t>
  </si>
  <si>
    <t>Невязка</t>
  </si>
  <si>
    <t>Гидравлический расчет газопровода</t>
  </si>
  <si>
    <t>№ кольца</t>
  </si>
  <si>
    <t>№ уч-ка</t>
  </si>
  <si>
    <t>№ сосед. кольца</t>
  </si>
  <si>
    <r>
      <t>l</t>
    </r>
    <r>
      <rPr>
        <vertAlign val="subscript"/>
        <sz val="10"/>
        <rFont val="Times New Roman"/>
        <family val="1"/>
      </rPr>
      <t>ф</t>
    </r>
    <r>
      <rPr>
        <sz val="10"/>
        <rFont val="Times New Roman"/>
        <family val="1"/>
      </rPr>
      <t>,м</t>
    </r>
  </si>
  <si>
    <r>
      <t>V</t>
    </r>
    <r>
      <rPr>
        <vertAlign val="subscript"/>
        <sz val="10"/>
        <rFont val="Times New Roman"/>
        <family val="1"/>
      </rPr>
      <t>р</t>
    </r>
    <r>
      <rPr>
        <sz val="10"/>
        <rFont val="Times New Roman"/>
        <family val="1"/>
      </rPr>
      <t>,м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</t>
    </r>
  </si>
  <si>
    <t>А</t>
  </si>
  <si>
    <t>В</t>
  </si>
  <si>
    <t>m'</t>
  </si>
  <si>
    <r>
      <t>ΔР</t>
    </r>
    <r>
      <rPr>
        <vertAlign val="subscript"/>
        <sz val="10"/>
        <rFont val="Times New Roman"/>
        <family val="1"/>
      </rPr>
      <t>доп</t>
    </r>
    <r>
      <rPr>
        <sz val="10"/>
        <rFont val="Times New Roman"/>
        <family val="1"/>
      </rPr>
      <t>,Па</t>
    </r>
  </si>
  <si>
    <r>
      <t>ΔР</t>
    </r>
    <r>
      <rPr>
        <vertAlign val="subscript"/>
        <sz val="10"/>
        <rFont val="Times New Roman"/>
        <family val="1"/>
      </rPr>
      <t>уд</t>
    </r>
    <r>
      <rPr>
        <sz val="10"/>
        <rFont val="Times New Roman"/>
        <family val="1"/>
      </rPr>
      <t>, Па</t>
    </r>
  </si>
  <si>
    <r>
      <t>d</t>
    </r>
    <r>
      <rPr>
        <vertAlign val="subscript"/>
        <sz val="10"/>
        <rFont val="Times New Roman"/>
        <family val="1"/>
      </rPr>
      <t>р</t>
    </r>
    <r>
      <rPr>
        <sz val="10"/>
        <rFont val="Times New Roman"/>
        <family val="1"/>
      </rPr>
      <t>, см</t>
    </r>
  </si>
  <si>
    <r>
      <t>d</t>
    </r>
    <r>
      <rPr>
        <vertAlign val="subscript"/>
        <sz val="10"/>
        <rFont val="Times New Roman"/>
        <family val="1"/>
      </rPr>
      <t>вн</t>
    </r>
    <r>
      <rPr>
        <sz val="10"/>
        <rFont val="Times New Roman"/>
        <family val="1"/>
      </rPr>
      <t>, см</t>
    </r>
  </si>
  <si>
    <r>
      <t>ν,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/с</t>
    </r>
  </si>
  <si>
    <t>Re</t>
  </si>
  <si>
    <t>Re(n/d)&lt;23</t>
  </si>
  <si>
    <t>λ</t>
  </si>
  <si>
    <r>
      <t>l</t>
    </r>
    <r>
      <rPr>
        <vertAlign val="subscript"/>
        <sz val="10"/>
        <rFont val="Times New Roman"/>
        <family val="1"/>
      </rPr>
      <t>э</t>
    </r>
  </si>
  <si>
    <r>
      <t>Р</t>
    </r>
    <r>
      <rPr>
        <vertAlign val="subscript"/>
        <sz val="10"/>
        <rFont val="Times New Roman"/>
        <family val="1"/>
      </rPr>
      <t>н</t>
    </r>
    <r>
      <rPr>
        <sz val="10"/>
        <rFont val="Times New Roman"/>
        <family val="1"/>
      </rPr>
      <t>-Р</t>
    </r>
    <r>
      <rPr>
        <vertAlign val="subscript"/>
        <sz val="10"/>
        <rFont val="Times New Roman"/>
        <family val="1"/>
      </rPr>
      <t>к</t>
    </r>
  </si>
  <si>
    <r>
      <t>(Р</t>
    </r>
    <r>
      <rPr>
        <vertAlign val="subscript"/>
        <sz val="10"/>
        <rFont val="Times New Roman"/>
        <family val="1"/>
      </rPr>
      <t>н</t>
    </r>
    <r>
      <rPr>
        <sz val="10"/>
        <rFont val="Times New Roman"/>
        <family val="1"/>
      </rPr>
      <t>-Р</t>
    </r>
    <r>
      <rPr>
        <vertAlign val="subscript"/>
        <sz val="10"/>
        <rFont val="Times New Roman"/>
        <family val="1"/>
      </rPr>
      <t>к</t>
    </r>
    <r>
      <rPr>
        <sz val="10"/>
        <rFont val="Times New Roman"/>
        <family val="1"/>
      </rPr>
      <t>)/V</t>
    </r>
    <r>
      <rPr>
        <vertAlign val="subscript"/>
        <sz val="10"/>
        <rFont val="Times New Roman"/>
        <family val="1"/>
      </rPr>
      <t>р</t>
    </r>
  </si>
  <si>
    <t>Увязка колец</t>
  </si>
  <si>
    <r>
      <t>1,1∙(Р</t>
    </r>
    <r>
      <rPr>
        <vertAlign val="subscript"/>
        <sz val="10"/>
        <rFont val="Times New Roman"/>
        <family val="1"/>
      </rPr>
      <t>н</t>
    </r>
    <r>
      <rPr>
        <sz val="10"/>
        <rFont val="Times New Roman"/>
        <family val="1"/>
      </rPr>
      <t>-Р</t>
    </r>
    <r>
      <rPr>
        <vertAlign val="subscript"/>
        <sz val="10"/>
        <rFont val="Times New Roman"/>
        <family val="1"/>
      </rPr>
      <t>к</t>
    </r>
    <r>
      <rPr>
        <sz val="10"/>
        <rFont val="Times New Roman"/>
        <family val="1"/>
      </rPr>
      <t>)</t>
    </r>
  </si>
  <si>
    <t>8-7</t>
  </si>
  <si>
    <t>7-6</t>
  </si>
  <si>
    <t>∑</t>
  </si>
  <si>
    <t>6-5</t>
  </si>
  <si>
    <t>11-10</t>
  </si>
  <si>
    <t>Трубы стальные электросварные прямошовные</t>
  </si>
  <si>
    <t>Наружный диаметр, мм</t>
  </si>
  <si>
    <t>Толщина стенки, мм</t>
  </si>
  <si>
    <t>Внутренний диаметр, см</t>
  </si>
  <si>
    <t>Перепад давления,Па</t>
  </si>
  <si>
    <t>Кап.вложеня,руб.</t>
  </si>
  <si>
    <r>
      <t>l,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/ч</t>
    </r>
  </si>
  <si>
    <r>
      <t>R</t>
    </r>
    <r>
      <rPr>
        <vertAlign val="subscript"/>
        <sz val="10"/>
        <rFont val="Arial Cyr"/>
        <family val="0"/>
      </rPr>
      <t xml:space="preserve">опт </t>
    </r>
    <r>
      <rPr>
        <sz val="10"/>
        <rFont val="Arial Cyr"/>
        <family val="0"/>
      </rPr>
      <t>,м</t>
    </r>
  </si>
  <si>
    <r>
      <t>V</t>
    </r>
    <r>
      <rPr>
        <vertAlign val="subscript"/>
        <sz val="10"/>
        <rFont val="Arial Cyr"/>
        <family val="0"/>
      </rPr>
      <t xml:space="preserve">опт, </t>
    </r>
    <r>
      <rPr>
        <sz val="10"/>
        <rFont val="Arial Cyr"/>
        <family val="0"/>
      </rPr>
      <t>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/ч</t>
    </r>
  </si>
  <si>
    <r>
      <t>n</t>
    </r>
    <r>
      <rPr>
        <vertAlign val="subscript"/>
        <sz val="10"/>
        <rFont val="Arial Cyr"/>
        <family val="0"/>
      </rPr>
      <t>расч</t>
    </r>
  </si>
  <si>
    <t>III</t>
  </si>
  <si>
    <t>II</t>
  </si>
  <si>
    <t>I</t>
  </si>
  <si>
    <t>IV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</si>
</sst>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E+00"/>
    <numFmt numFmtId="171" formatCode="0.00000E+00"/>
    <numFmt numFmtId="172" formatCode="0.0000E+00"/>
    <numFmt numFmtId="173" formatCode="0.000E+00"/>
    <numFmt numFmtId="174" formatCode="0.0E+00"/>
    <numFmt numFmtId="175" formatCode="0.00000"/>
    <numFmt numFmtId="176" formatCode="0.0000"/>
    <numFmt numFmtId="177" formatCode="0.0000000"/>
    <numFmt numFmtId="178" formatCode="0.000000"/>
  </numFmts>
  <fonts count="31">
    <font>
      <sz val="10"/>
      <name val="Arial Cyr"/>
      <family val="0"/>
    </font>
    <font>
      <sz val="10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0"/>
      <name val="Times New Roman"/>
      <family val="1"/>
    </font>
    <font>
      <vertAlign val="subscript"/>
      <sz val="10"/>
      <name val="Arial Cyr"/>
      <family val="0"/>
    </font>
    <font>
      <sz val="13"/>
      <color indexed="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UniversalMath1 BT"/>
      <family val="1"/>
    </font>
    <font>
      <vertAlign val="superscript"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4" fillId="2" borderId="1" xfId="0" applyFont="1" applyFill="1" applyBorder="1" applyAlignment="1">
      <alignment horizontal="left" vertical="top" wrapText="1" inden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 indent="1"/>
    </xf>
    <xf numFmtId="0" fontId="10" fillId="2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4" fillId="2" borderId="0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0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1" fontId="10" fillId="2" borderId="1" xfId="0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top" wrapText="1" indent="1"/>
    </xf>
    <xf numFmtId="0" fontId="4" fillId="3" borderId="11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vertical="top" wrapText="1"/>
    </xf>
    <xf numFmtId="0" fontId="4" fillId="3" borderId="13" xfId="0" applyFont="1" applyFill="1" applyBorder="1" applyAlignment="1">
      <alignment horizontal="center" vertical="top" wrapText="1"/>
    </xf>
    <xf numFmtId="1" fontId="4" fillId="3" borderId="13" xfId="0" applyNumberFormat="1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vertical="top" wrapText="1"/>
    </xf>
    <xf numFmtId="0" fontId="4" fillId="3" borderId="10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1" fontId="0" fillId="0" borderId="1" xfId="0" applyNumberFormat="1" applyBorder="1" applyAlignment="1">
      <alignment/>
    </xf>
    <xf numFmtId="2" fontId="12" fillId="2" borderId="1" xfId="0" applyNumberFormat="1" applyFont="1" applyFill="1" applyBorder="1" applyAlignment="1">
      <alignment horizontal="center" vertical="top" wrapText="1"/>
    </xf>
    <xf numFmtId="169" fontId="0" fillId="0" borderId="1" xfId="0" applyNumberFormat="1" applyBorder="1" applyAlignment="1">
      <alignment/>
    </xf>
    <xf numFmtId="169" fontId="12" fillId="2" borderId="1" xfId="0" applyNumberFormat="1" applyFont="1" applyFill="1" applyBorder="1" applyAlignment="1">
      <alignment horizontal="center" vertical="top" wrapText="1"/>
    </xf>
    <xf numFmtId="0" fontId="16" fillId="0" borderId="1" xfId="0" applyFont="1" applyBorder="1" applyAlignment="1">
      <alignment/>
    </xf>
    <xf numFmtId="174" fontId="16" fillId="0" borderId="1" xfId="0" applyNumberFormat="1" applyFont="1" applyBorder="1" applyAlignment="1">
      <alignment/>
    </xf>
    <xf numFmtId="1" fontId="16" fillId="0" borderId="1" xfId="0" applyNumberFormat="1" applyFont="1" applyBorder="1" applyAlignment="1">
      <alignment/>
    </xf>
    <xf numFmtId="169" fontId="16" fillId="0" borderId="1" xfId="0" applyNumberFormat="1" applyFont="1" applyBorder="1" applyAlignment="1">
      <alignment/>
    </xf>
    <xf numFmtId="2" fontId="13" fillId="0" borderId="1" xfId="0" applyNumberFormat="1" applyFont="1" applyFill="1" applyBorder="1" applyAlignment="1">
      <alignment horizontal="center" vertical="top" wrapText="1"/>
    </xf>
    <xf numFmtId="11" fontId="16" fillId="0" borderId="1" xfId="0" applyNumberFormat="1" applyFont="1" applyBorder="1" applyAlignment="1">
      <alignment/>
    </xf>
    <xf numFmtId="11" fontId="16" fillId="4" borderId="1" xfId="0" applyNumberFormat="1" applyFont="1" applyFill="1" applyBorder="1" applyAlignment="1">
      <alignment/>
    </xf>
    <xf numFmtId="11" fontId="0" fillId="4" borderId="1" xfId="0" applyNumberFormat="1" applyFill="1" applyBorder="1" applyAlignment="1">
      <alignment/>
    </xf>
    <xf numFmtId="2" fontId="13" fillId="2" borderId="1" xfId="0" applyNumberFormat="1" applyFont="1" applyFill="1" applyBorder="1" applyAlignment="1">
      <alignment horizontal="center" vertical="top" wrapText="1"/>
    </xf>
    <xf numFmtId="0" fontId="20" fillId="2" borderId="14" xfId="0" applyFont="1" applyFill="1" applyBorder="1" applyAlignment="1">
      <alignment horizontal="center" vertical="top" wrapText="1"/>
    </xf>
    <xf numFmtId="0" fontId="20" fillId="2" borderId="15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2" fontId="12" fillId="2" borderId="17" xfId="0" applyNumberFormat="1" applyFont="1" applyFill="1" applyBorder="1" applyAlignment="1">
      <alignment horizontal="center" vertical="top" wrapText="1"/>
    </xf>
    <xf numFmtId="169" fontId="12" fillId="2" borderId="17" xfId="0" applyNumberFormat="1" applyFont="1" applyFill="1" applyBorder="1" applyAlignment="1">
      <alignment horizontal="center" vertical="top" wrapText="1"/>
    </xf>
    <xf numFmtId="2" fontId="13" fillId="0" borderId="17" xfId="0" applyNumberFormat="1" applyFont="1" applyFill="1" applyBorder="1" applyAlignment="1">
      <alignment horizontal="center" vertical="top" wrapText="1"/>
    </xf>
    <xf numFmtId="2" fontId="13" fillId="2" borderId="17" xfId="0" applyNumberFormat="1" applyFont="1" applyFill="1" applyBorder="1" applyAlignment="1">
      <alignment horizontal="center" vertical="top" wrapText="1"/>
    </xf>
    <xf numFmtId="169" fontId="1" fillId="0" borderId="18" xfId="0" applyNumberFormat="1" applyFont="1" applyBorder="1" applyAlignment="1">
      <alignment horizontal="center"/>
    </xf>
    <xf numFmtId="0" fontId="4" fillId="2" borderId="19" xfId="0" applyFont="1" applyFill="1" applyBorder="1" applyAlignment="1">
      <alignment horizontal="center" vertical="top" wrapText="1"/>
    </xf>
    <xf numFmtId="169" fontId="1" fillId="0" borderId="20" xfId="0" applyNumberFormat="1" applyFont="1" applyBorder="1" applyAlignment="1">
      <alignment horizontal="center"/>
    </xf>
    <xf numFmtId="0" fontId="4" fillId="2" borderId="21" xfId="0" applyFont="1" applyFill="1" applyBorder="1" applyAlignment="1">
      <alignment horizontal="center" vertical="top" wrapText="1"/>
    </xf>
    <xf numFmtId="2" fontId="12" fillId="2" borderId="22" xfId="0" applyNumberFormat="1" applyFont="1" applyFill="1" applyBorder="1" applyAlignment="1">
      <alignment horizontal="center" vertical="top" wrapText="1"/>
    </xf>
    <xf numFmtId="169" fontId="12" fillId="2" borderId="22" xfId="0" applyNumberFormat="1" applyFont="1" applyFill="1" applyBorder="1" applyAlignment="1">
      <alignment horizontal="center" vertical="top" wrapText="1"/>
    </xf>
    <xf numFmtId="2" fontId="13" fillId="0" borderId="22" xfId="0" applyNumberFormat="1" applyFont="1" applyFill="1" applyBorder="1" applyAlignment="1">
      <alignment horizontal="center" vertical="top" wrapText="1"/>
    </xf>
    <xf numFmtId="2" fontId="13" fillId="2" borderId="22" xfId="0" applyNumberFormat="1" applyFont="1" applyFill="1" applyBorder="1" applyAlignment="1">
      <alignment horizontal="center" vertical="top" wrapText="1"/>
    </xf>
    <xf numFmtId="169" fontId="1" fillId="0" borderId="23" xfId="0" applyNumberFormat="1" applyFont="1" applyBorder="1" applyAlignment="1">
      <alignment horizontal="center"/>
    </xf>
    <xf numFmtId="0" fontId="14" fillId="2" borderId="14" xfId="0" applyFont="1" applyFill="1" applyBorder="1" applyAlignment="1">
      <alignment horizontal="center" vertical="top" wrapText="1"/>
    </xf>
    <xf numFmtId="2" fontId="15" fillId="2" borderId="15" xfId="0" applyNumberFormat="1" applyFont="1" applyFill="1" applyBorder="1" applyAlignment="1">
      <alignment horizontal="center" vertical="top" wrapText="1"/>
    </xf>
    <xf numFmtId="169" fontId="15" fillId="2" borderId="15" xfId="0" applyNumberFormat="1" applyFont="1" applyFill="1" applyBorder="1" applyAlignment="1">
      <alignment horizontal="center" vertical="top" wrapText="1"/>
    </xf>
    <xf numFmtId="2" fontId="19" fillId="0" borderId="15" xfId="0" applyNumberFormat="1" applyFont="1" applyFill="1" applyBorder="1" applyAlignment="1">
      <alignment horizontal="center" vertical="top" wrapText="1"/>
    </xf>
    <xf numFmtId="2" fontId="19" fillId="2" borderId="15" xfId="0" applyNumberFormat="1" applyFont="1" applyFill="1" applyBorder="1" applyAlignment="1">
      <alignment horizontal="center" vertical="top" wrapText="1"/>
    </xf>
    <xf numFmtId="169" fontId="15" fillId="0" borderId="24" xfId="0" applyNumberFormat="1" applyFont="1" applyBorder="1" applyAlignment="1">
      <alignment horizontal="center"/>
    </xf>
    <xf numFmtId="9" fontId="22" fillId="0" borderId="24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0" fontId="13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2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 wrapText="1" readingOrder="1"/>
    </xf>
    <xf numFmtId="49" fontId="1" fillId="0" borderId="1" xfId="0" applyNumberFormat="1" applyFont="1" applyFill="1" applyBorder="1" applyAlignment="1">
      <alignment horizontal="center" vertical="center" wrapText="1" readingOrder="1"/>
    </xf>
    <xf numFmtId="49" fontId="1" fillId="0" borderId="1" xfId="0" applyNumberFormat="1" applyFont="1" applyBorder="1" applyAlignment="1">
      <alignment horizontal="center" vertical="center" wrapText="1" readingOrder="1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 readingOrder="1"/>
    </xf>
    <xf numFmtId="0" fontId="26" fillId="0" borderId="1" xfId="0" applyFont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 readingOrder="1"/>
    </xf>
    <xf numFmtId="169" fontId="1" fillId="0" borderId="1" xfId="0" applyNumberFormat="1" applyFont="1" applyFill="1" applyBorder="1" applyAlignment="1">
      <alignment horizontal="center" vertical="center" wrapText="1" readingOrder="1"/>
    </xf>
    <xf numFmtId="2" fontId="1" fillId="0" borderId="1" xfId="0" applyNumberFormat="1" applyFont="1" applyFill="1" applyBorder="1" applyAlignment="1">
      <alignment horizontal="center" vertical="center" wrapText="1" readingOrder="1"/>
    </xf>
    <xf numFmtId="174" fontId="1" fillId="0" borderId="1" xfId="0" applyNumberFormat="1" applyFont="1" applyFill="1" applyBorder="1" applyAlignment="1">
      <alignment horizontal="center" vertical="center" wrapText="1" readingOrder="1"/>
    </xf>
    <xf numFmtId="1" fontId="1" fillId="0" borderId="1" xfId="0" applyNumberFormat="1" applyFont="1" applyBorder="1" applyAlignment="1">
      <alignment horizontal="center" vertical="center" wrapText="1" readingOrder="1"/>
    </xf>
    <xf numFmtId="168" fontId="1" fillId="0" borderId="1" xfId="0" applyNumberFormat="1" applyFont="1" applyBorder="1" applyAlignment="1">
      <alignment horizontal="center" vertical="center" wrapText="1" readingOrder="1"/>
    </xf>
    <xf numFmtId="169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27" xfId="0" applyFont="1" applyFill="1" applyBorder="1" applyAlignment="1">
      <alignment horizontal="center" vertical="center" wrapText="1" readingOrder="1"/>
    </xf>
    <xf numFmtId="169" fontId="1" fillId="0" borderId="27" xfId="0" applyNumberFormat="1" applyFont="1" applyFill="1" applyBorder="1" applyAlignment="1">
      <alignment horizontal="center" vertical="center" wrapText="1" readingOrder="1"/>
    </xf>
    <xf numFmtId="0" fontId="1" fillId="0" borderId="26" xfId="0" applyFont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3" xfId="0" applyNumberFormat="1" applyFont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169" fontId="1" fillId="0" borderId="3" xfId="0" applyNumberFormat="1" applyFont="1" applyFill="1" applyBorder="1" applyAlignment="1">
      <alignment horizontal="center" vertical="center" wrapText="1" readingOrder="1"/>
    </xf>
    <xf numFmtId="174" fontId="1" fillId="0" borderId="6" xfId="0" applyNumberFormat="1" applyFont="1" applyFill="1" applyBorder="1" applyAlignment="1">
      <alignment horizontal="center" vertical="center" wrapText="1" readingOrder="1"/>
    </xf>
    <xf numFmtId="0" fontId="1" fillId="0" borderId="0" xfId="0" applyFont="1" applyBorder="1" applyAlignment="1">
      <alignment/>
    </xf>
    <xf numFmtId="168" fontId="1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0" fontId="22" fillId="0" borderId="0" xfId="0" applyNumberFormat="1" applyFont="1" applyBorder="1" applyAlignment="1">
      <alignment horizontal="right"/>
    </xf>
    <xf numFmtId="168" fontId="1" fillId="0" borderId="0" xfId="0" applyNumberFormat="1" applyFont="1" applyBorder="1" applyAlignment="1">
      <alignment horizontal="center" vertical="center" wrapText="1" readingOrder="1"/>
    </xf>
    <xf numFmtId="49" fontId="1" fillId="0" borderId="2" xfId="0" applyNumberFormat="1" applyFont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 readingOrder="1"/>
    </xf>
    <xf numFmtId="169" fontId="1" fillId="0" borderId="2" xfId="0" applyNumberFormat="1" applyFont="1" applyFill="1" applyBorder="1" applyAlignment="1">
      <alignment horizontal="center" vertical="center" wrapText="1" readingOrder="1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6" xfId="0" applyFont="1" applyBorder="1" applyAlignment="1">
      <alignment horizontal="center" vertical="center" wrapText="1" readingOrder="1"/>
    </xf>
    <xf numFmtId="0" fontId="22" fillId="0" borderId="0" xfId="0" applyFont="1" applyAlignment="1">
      <alignment horizontal="right"/>
    </xf>
    <xf numFmtId="169" fontId="1" fillId="0" borderId="0" xfId="0" applyNumberFormat="1" applyFont="1" applyAlignment="1">
      <alignment/>
    </xf>
    <xf numFmtId="168" fontId="1" fillId="0" borderId="0" xfId="0" applyNumberFormat="1" applyFont="1" applyAlignment="1">
      <alignment horizontal="center" vertical="center" wrapText="1" readingOrder="1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 readingOrder="1"/>
    </xf>
    <xf numFmtId="0" fontId="1" fillId="0" borderId="1" xfId="0" applyNumberFormat="1" applyFont="1" applyBorder="1" applyAlignment="1">
      <alignment horizontal="center" vertical="center" wrapText="1" readingOrder="1"/>
    </xf>
    <xf numFmtId="169" fontId="1" fillId="0" borderId="1" xfId="0" applyNumberFormat="1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/>
    </xf>
    <xf numFmtId="0" fontId="4" fillId="2" borderId="27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28" xfId="0" applyFont="1" applyBorder="1" applyAlignment="1">
      <alignment/>
    </xf>
    <xf numFmtId="0" fontId="0" fillId="0" borderId="28" xfId="0" applyBorder="1" applyAlignment="1">
      <alignment/>
    </xf>
    <xf numFmtId="0" fontId="5" fillId="2" borderId="29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25" fillId="0" borderId="5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 wrapText="1" readingOrder="1"/>
    </xf>
    <xf numFmtId="0" fontId="1" fillId="0" borderId="25" xfId="0" applyNumberFormat="1" applyFont="1" applyBorder="1" applyAlignment="1">
      <alignment horizontal="center" vertical="center" wrapText="1" readingOrder="1"/>
    </xf>
    <xf numFmtId="0" fontId="1" fillId="0" borderId="2" xfId="0" applyNumberFormat="1" applyFont="1" applyBorder="1" applyAlignment="1">
      <alignment horizontal="center" vertical="center" wrapText="1" readingOrder="1"/>
    </xf>
    <xf numFmtId="169" fontId="1" fillId="0" borderId="27" xfId="0" applyNumberFormat="1" applyFont="1" applyBorder="1" applyAlignment="1">
      <alignment horizontal="center" vertical="center" wrapText="1" readingOrder="1"/>
    </xf>
    <xf numFmtId="169" fontId="1" fillId="0" borderId="25" xfId="0" applyNumberFormat="1" applyFont="1" applyBorder="1" applyAlignment="1">
      <alignment horizontal="center" vertical="center" wrapText="1" readingOrder="1"/>
    </xf>
    <xf numFmtId="169" fontId="1" fillId="0" borderId="2" xfId="0" applyNumberFormat="1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8"/>
  <sheetViews>
    <sheetView view="pageBreakPreview" zoomScale="60" workbookViewId="0" topLeftCell="A1">
      <selection activeCell="C7" sqref="C7"/>
    </sheetView>
  </sheetViews>
  <sheetFormatPr defaultColWidth="9.00390625" defaultRowHeight="12.75"/>
  <cols>
    <col min="1" max="1" width="14.125" style="0" customWidth="1"/>
    <col min="2" max="2" width="6.625" style="0" customWidth="1"/>
    <col min="3" max="3" width="8.75390625" style="0" customWidth="1"/>
    <col min="4" max="4" width="11.75390625" style="0" customWidth="1"/>
    <col min="5" max="5" width="13.00390625" style="0" customWidth="1"/>
    <col min="6" max="7" width="11.125" style="0" customWidth="1"/>
    <col min="8" max="8" width="11.75390625" style="0" customWidth="1"/>
  </cols>
  <sheetData>
    <row r="1" spans="1:8" ht="18.75">
      <c r="A1" s="141" t="s">
        <v>0</v>
      </c>
      <c r="B1" s="141"/>
      <c r="C1" s="141"/>
      <c r="D1" s="141"/>
      <c r="E1" s="141"/>
      <c r="F1" s="141"/>
      <c r="G1" s="141"/>
      <c r="H1" s="141"/>
    </row>
    <row r="2" spans="1:8" ht="79.5" customHeight="1">
      <c r="A2" s="37" t="s">
        <v>13</v>
      </c>
      <c r="B2" s="37" t="s">
        <v>8</v>
      </c>
      <c r="C2" s="37" t="s">
        <v>9</v>
      </c>
      <c r="D2" s="37" t="s">
        <v>1</v>
      </c>
      <c r="E2" s="37" t="s">
        <v>10</v>
      </c>
      <c r="F2" s="37" t="s">
        <v>2</v>
      </c>
      <c r="G2" s="37" t="s">
        <v>12</v>
      </c>
      <c r="H2" s="37" t="s">
        <v>11</v>
      </c>
    </row>
    <row r="3" spans="1:8" ht="16.5" customHeight="1">
      <c r="A3" s="38" t="s">
        <v>3</v>
      </c>
      <c r="B3" s="38">
        <v>200</v>
      </c>
      <c r="C3" s="38">
        <v>200</v>
      </c>
      <c r="D3" s="38">
        <f>B3*C3/(10000*2)</f>
        <v>2</v>
      </c>
      <c r="E3" s="38">
        <v>310</v>
      </c>
      <c r="F3" s="38">
        <f>D3*E3</f>
        <v>620</v>
      </c>
      <c r="G3" s="38">
        <v>12</v>
      </c>
      <c r="H3" s="38">
        <f>F3*G3</f>
        <v>7440</v>
      </c>
    </row>
    <row r="4" spans="1:8" ht="15" customHeight="1">
      <c r="A4" s="38" t="s">
        <v>4</v>
      </c>
      <c r="B4" s="38">
        <v>200</v>
      </c>
      <c r="C4" s="38">
        <v>625</v>
      </c>
      <c r="D4" s="38">
        <f>B4*C4/(10000)</f>
        <v>12.5</v>
      </c>
      <c r="E4" s="38">
        <f>E3</f>
        <v>310</v>
      </c>
      <c r="F4" s="38">
        <f>D4*E4</f>
        <v>3875</v>
      </c>
      <c r="G4" s="38">
        <v>12</v>
      </c>
      <c r="H4" s="38">
        <f>F4*G4</f>
        <v>46500</v>
      </c>
    </row>
    <row r="5" spans="1:8" ht="15.75" customHeight="1">
      <c r="A5" s="38" t="s">
        <v>5</v>
      </c>
      <c r="B5" s="38">
        <v>800</v>
      </c>
      <c r="C5" s="38">
        <v>200</v>
      </c>
      <c r="D5" s="38">
        <f>B5*C5/(10000)</f>
        <v>16</v>
      </c>
      <c r="E5" s="38">
        <f>E4</f>
        <v>310</v>
      </c>
      <c r="F5" s="38">
        <f>D5*E5</f>
        <v>4960</v>
      </c>
      <c r="G5" s="38">
        <v>12</v>
      </c>
      <c r="H5" s="38">
        <f>F5*G5</f>
        <v>59520</v>
      </c>
    </row>
    <row r="6" spans="1:8" ht="15.75" customHeight="1">
      <c r="A6" s="38" t="s">
        <v>69</v>
      </c>
      <c r="B6" s="38">
        <v>400</v>
      </c>
      <c r="C6" s="38">
        <v>825</v>
      </c>
      <c r="D6" s="38">
        <f>B6*C6/(10000)</f>
        <v>33</v>
      </c>
      <c r="E6" s="38">
        <f>E5</f>
        <v>310</v>
      </c>
      <c r="F6" s="38">
        <f>D6*E6</f>
        <v>10230</v>
      </c>
      <c r="G6" s="38">
        <v>12</v>
      </c>
      <c r="H6" s="38">
        <f>F6*G6</f>
        <v>122760</v>
      </c>
    </row>
    <row r="7" spans="1:8" ht="15" customHeight="1">
      <c r="A7" s="38" t="s">
        <v>7</v>
      </c>
      <c r="B7" s="38">
        <v>800</v>
      </c>
      <c r="C7" s="38">
        <v>625</v>
      </c>
      <c r="D7" s="38">
        <f>B7*C7/(10000)</f>
        <v>50</v>
      </c>
      <c r="E7" s="38">
        <f>E6</f>
        <v>310</v>
      </c>
      <c r="F7" s="38">
        <f>D7*E7</f>
        <v>15500</v>
      </c>
      <c r="G7" s="38">
        <v>12</v>
      </c>
      <c r="H7" s="38">
        <f>F7*G7</f>
        <v>186000</v>
      </c>
    </row>
    <row r="8" spans="1:8" ht="16.5" customHeight="1">
      <c r="A8" s="1"/>
      <c r="B8" s="1"/>
      <c r="C8" s="1"/>
      <c r="D8" s="78">
        <f>SUM(D3:D7)</f>
        <v>113.5</v>
      </c>
      <c r="E8" s="1"/>
      <c r="F8" s="39">
        <f>SUM(F3:F7)</f>
        <v>35185</v>
      </c>
      <c r="G8" s="1"/>
      <c r="H8" s="39">
        <f>SUM(H3:H7)</f>
        <v>422220</v>
      </c>
    </row>
  </sheetData>
  <mergeCells count="1">
    <mergeCell ref="A1:H1"/>
  </mergeCells>
  <printOptions/>
  <pageMargins left="0.75" right="0.75" top="1" bottom="1" header="0.5" footer="0.5"/>
  <pageSetup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F56"/>
  <sheetViews>
    <sheetView view="pageBreakPreview" zoomScale="60" workbookViewId="0" topLeftCell="A1">
      <selection activeCell="B22" sqref="B22:B26"/>
    </sheetView>
  </sheetViews>
  <sheetFormatPr defaultColWidth="9.00390625" defaultRowHeight="12.75"/>
  <cols>
    <col min="1" max="1" width="12.75390625" style="0" customWidth="1"/>
    <col min="2" max="2" width="14.875" style="0" customWidth="1"/>
    <col min="3" max="3" width="15.125" style="0" customWidth="1"/>
    <col min="4" max="4" width="15.375" style="0" customWidth="1"/>
    <col min="5" max="5" width="12.00390625" style="0" customWidth="1"/>
    <col min="6" max="6" width="16.125" style="0" customWidth="1"/>
  </cols>
  <sheetData>
    <row r="1" spans="1:6" ht="18.75">
      <c r="A1" s="154" t="s">
        <v>22</v>
      </c>
      <c r="B1" s="154"/>
      <c r="C1" s="154"/>
      <c r="D1" s="154"/>
      <c r="E1" s="154"/>
      <c r="F1" s="154"/>
    </row>
    <row r="2" spans="1:6" ht="35.25" customHeight="1">
      <c r="A2" s="4" t="s">
        <v>13</v>
      </c>
      <c r="B2" s="5" t="s">
        <v>14</v>
      </c>
      <c r="C2" s="2" t="s">
        <v>2</v>
      </c>
      <c r="D2" s="2" t="s">
        <v>23</v>
      </c>
      <c r="E2" s="2" t="s">
        <v>25</v>
      </c>
      <c r="F2" s="2" t="s">
        <v>15</v>
      </c>
    </row>
    <row r="3" spans="1:6" ht="18.75" customHeight="1">
      <c r="A3" s="157" t="s">
        <v>24</v>
      </c>
      <c r="B3" s="157"/>
      <c r="C3" s="157"/>
      <c r="D3" s="157"/>
      <c r="E3" s="157"/>
      <c r="F3" s="157"/>
    </row>
    <row r="4" spans="1:6" ht="15.75">
      <c r="A4" s="2" t="s">
        <v>3</v>
      </c>
      <c r="B4" s="158" t="s">
        <v>16</v>
      </c>
      <c r="C4" s="2">
        <f>'хоз.быт.потр.'!F3</f>
        <v>620</v>
      </c>
      <c r="D4" s="2">
        <v>100</v>
      </c>
      <c r="E4" s="2">
        <v>0.5</v>
      </c>
      <c r="F4" s="2">
        <f>D4*C4*E4/1000</f>
        <v>31</v>
      </c>
    </row>
    <row r="5" spans="1:6" ht="15.75">
      <c r="A5" s="2" t="s">
        <v>4</v>
      </c>
      <c r="B5" s="159"/>
      <c r="C5" s="2">
        <f>'хоз.быт.потр.'!F4</f>
        <v>3875</v>
      </c>
      <c r="D5" s="2">
        <v>100</v>
      </c>
      <c r="E5" s="2">
        <v>0.5</v>
      </c>
      <c r="F5" s="2">
        <f>D5*C5*E5/1000</f>
        <v>193.75</v>
      </c>
    </row>
    <row r="6" spans="1:6" ht="15.75">
      <c r="A6" s="2" t="s">
        <v>5</v>
      </c>
      <c r="B6" s="159"/>
      <c r="C6" s="2">
        <f>'хоз.быт.потр.'!F5</f>
        <v>4960</v>
      </c>
      <c r="D6" s="2">
        <v>100</v>
      </c>
      <c r="E6" s="2">
        <v>0.5</v>
      </c>
      <c r="F6" s="2">
        <f>D6*C6*E6/1000</f>
        <v>248</v>
      </c>
    </row>
    <row r="7" spans="1:6" ht="15.75">
      <c r="A7" s="2" t="s">
        <v>6</v>
      </c>
      <c r="B7" s="159"/>
      <c r="C7" s="2">
        <f>'хоз.быт.потр.'!F6</f>
        <v>10230</v>
      </c>
      <c r="D7" s="2">
        <v>100</v>
      </c>
      <c r="E7" s="2">
        <v>0.5</v>
      </c>
      <c r="F7" s="2">
        <f>D7*C7*E7/1000</f>
        <v>511.5</v>
      </c>
    </row>
    <row r="8" spans="1:6" ht="15.75">
      <c r="A8" s="2" t="s">
        <v>7</v>
      </c>
      <c r="B8" s="159"/>
      <c r="C8" s="2">
        <f>'хоз.быт.потр.'!F7</f>
        <v>15500</v>
      </c>
      <c r="D8" s="2">
        <v>100</v>
      </c>
      <c r="E8" s="2">
        <v>0.5</v>
      </c>
      <c r="F8" s="2">
        <f>D8*C8*E8/1000</f>
        <v>775</v>
      </c>
    </row>
    <row r="9" spans="1:6" ht="15.75">
      <c r="A9" s="15"/>
      <c r="B9" s="77"/>
      <c r="C9" s="15"/>
      <c r="D9" s="15"/>
      <c r="E9" s="26"/>
      <c r="F9" s="27">
        <f>SUM(F4:F8)</f>
        <v>1759.25</v>
      </c>
    </row>
    <row r="10" spans="1:6" ht="15.75">
      <c r="A10" s="28"/>
      <c r="B10" s="29"/>
      <c r="C10" s="20"/>
      <c r="D10" s="20"/>
      <c r="E10" s="20"/>
      <c r="F10" s="10"/>
    </row>
    <row r="11" spans="1:6" ht="31.5">
      <c r="A11" s="4" t="s">
        <v>13</v>
      </c>
      <c r="B11" s="5" t="s">
        <v>14</v>
      </c>
      <c r="C11" s="2" t="s">
        <v>2</v>
      </c>
      <c r="D11" s="2" t="s">
        <v>27</v>
      </c>
      <c r="E11" s="2" t="s">
        <v>25</v>
      </c>
      <c r="F11" s="2" t="s">
        <v>15</v>
      </c>
    </row>
    <row r="12" spans="1:6" ht="15.75">
      <c r="A12" s="149" t="s">
        <v>26</v>
      </c>
      <c r="B12" s="150"/>
      <c r="C12" s="150"/>
      <c r="D12" s="150"/>
      <c r="E12" s="150"/>
      <c r="F12" s="151"/>
    </row>
    <row r="13" spans="1:6" ht="15.75">
      <c r="A13" s="2" t="s">
        <v>3</v>
      </c>
      <c r="B13" s="142" t="s">
        <v>17</v>
      </c>
      <c r="C13" s="2">
        <f>'хоз.быт.потр.'!F3</f>
        <v>620</v>
      </c>
      <c r="D13" s="2">
        <v>52</v>
      </c>
      <c r="E13" s="2">
        <v>0.7</v>
      </c>
      <c r="F13" s="2">
        <f>E13*C13*D13</f>
        <v>22568</v>
      </c>
    </row>
    <row r="14" spans="1:6" ht="15.75">
      <c r="A14" s="2" t="s">
        <v>4</v>
      </c>
      <c r="B14" s="152"/>
      <c r="C14" s="2">
        <f>'хоз.быт.потр.'!F4</f>
        <v>3875</v>
      </c>
      <c r="D14" s="2">
        <v>52</v>
      </c>
      <c r="E14" s="2">
        <v>0.7</v>
      </c>
      <c r="F14" s="2">
        <f>E14*C14*D14</f>
        <v>141050</v>
      </c>
    </row>
    <row r="15" spans="1:6" ht="15.75">
      <c r="A15" s="2" t="s">
        <v>5</v>
      </c>
      <c r="B15" s="152"/>
      <c r="C15" s="2">
        <f>'хоз.быт.потр.'!F5</f>
        <v>4960</v>
      </c>
      <c r="D15" s="2">
        <v>52</v>
      </c>
      <c r="E15" s="2">
        <v>0.7</v>
      </c>
      <c r="F15" s="2">
        <f>E15*C15*D15</f>
        <v>180544</v>
      </c>
    </row>
    <row r="16" spans="1:6" ht="15.75">
      <c r="A16" s="2" t="s">
        <v>6</v>
      </c>
      <c r="B16" s="152"/>
      <c r="C16" s="2">
        <f>'хоз.быт.потр.'!F6</f>
        <v>10230</v>
      </c>
      <c r="D16" s="2">
        <v>52</v>
      </c>
      <c r="E16" s="2">
        <v>0.7</v>
      </c>
      <c r="F16" s="2">
        <f>E16*C16*D16</f>
        <v>372372</v>
      </c>
    </row>
    <row r="17" spans="1:6" ht="15.75">
      <c r="A17" s="2" t="s">
        <v>7</v>
      </c>
      <c r="B17" s="153"/>
      <c r="C17" s="2">
        <f>'хоз.быт.потр.'!F7</f>
        <v>15500</v>
      </c>
      <c r="D17" s="2">
        <v>52</v>
      </c>
      <c r="E17" s="2">
        <v>0.7</v>
      </c>
      <c r="F17" s="2">
        <f>E17*C17*D17</f>
        <v>564200</v>
      </c>
    </row>
    <row r="18" spans="1:6" ht="15.75">
      <c r="A18" s="155"/>
      <c r="B18" s="155"/>
      <c r="C18" s="155"/>
      <c r="D18" s="155"/>
      <c r="E18" s="156"/>
      <c r="F18" s="19">
        <f>SUM(F13:F17)</f>
        <v>1280734</v>
      </c>
    </row>
    <row r="19" spans="1:6" ht="15.75">
      <c r="A19" s="20"/>
      <c r="B19" s="25"/>
      <c r="C19" s="23"/>
      <c r="D19" s="23"/>
      <c r="E19" s="23"/>
      <c r="F19" s="13"/>
    </row>
    <row r="20" spans="1:6" ht="31.5">
      <c r="A20" s="12" t="s">
        <v>13</v>
      </c>
      <c r="B20" s="8" t="s">
        <v>14</v>
      </c>
      <c r="C20" s="11" t="s">
        <v>2</v>
      </c>
      <c r="D20" s="11" t="s">
        <v>29</v>
      </c>
      <c r="E20" s="11" t="s">
        <v>30</v>
      </c>
      <c r="F20" s="2" t="s">
        <v>15</v>
      </c>
    </row>
    <row r="21" spans="1:6" ht="15.75">
      <c r="A21" s="149" t="s">
        <v>28</v>
      </c>
      <c r="B21" s="150"/>
      <c r="C21" s="150"/>
      <c r="D21" s="150"/>
      <c r="E21" s="150"/>
      <c r="F21" s="151"/>
    </row>
    <row r="22" spans="1:6" ht="15.75">
      <c r="A22" s="2" t="s">
        <v>3</v>
      </c>
      <c r="B22" s="142" t="s">
        <v>18</v>
      </c>
      <c r="C22" s="2">
        <f>'хоз.быт.потр.'!F3</f>
        <v>620</v>
      </c>
      <c r="D22" s="2">
        <v>12</v>
      </c>
      <c r="E22" s="2">
        <v>1000</v>
      </c>
      <c r="F22" s="2">
        <v>9</v>
      </c>
    </row>
    <row r="23" spans="1:6" ht="15.75">
      <c r="A23" s="2" t="s">
        <v>4</v>
      </c>
      <c r="B23" s="152"/>
      <c r="C23" s="2">
        <f>'хоз.быт.потр.'!F4</f>
        <v>3875</v>
      </c>
      <c r="D23" s="2">
        <v>12</v>
      </c>
      <c r="E23" s="2">
        <v>1000</v>
      </c>
      <c r="F23" s="2">
        <v>161</v>
      </c>
    </row>
    <row r="24" spans="1:6" ht="15.75">
      <c r="A24" s="2" t="s">
        <v>5</v>
      </c>
      <c r="B24" s="152"/>
      <c r="C24" s="2">
        <f>'хоз.быт.потр.'!F5</f>
        <v>4960</v>
      </c>
      <c r="D24" s="2">
        <v>12</v>
      </c>
      <c r="E24" s="2">
        <v>1000</v>
      </c>
      <c r="F24" s="2">
        <v>25</v>
      </c>
    </row>
    <row r="25" spans="1:6" ht="15.75">
      <c r="A25" s="2" t="s">
        <v>6</v>
      </c>
      <c r="B25" s="152"/>
      <c r="C25" s="2">
        <f>'хоз.быт.потр.'!F6</f>
        <v>10230</v>
      </c>
      <c r="D25" s="2">
        <v>12</v>
      </c>
      <c r="E25" s="2">
        <v>1000</v>
      </c>
      <c r="F25" s="2">
        <v>177</v>
      </c>
    </row>
    <row r="26" spans="1:6" ht="15.75">
      <c r="A26" s="2" t="s">
        <v>7</v>
      </c>
      <c r="B26" s="153"/>
      <c r="C26" s="2">
        <f>'хоз.быт.потр.'!F7</f>
        <v>15500</v>
      </c>
      <c r="D26" s="2">
        <v>12</v>
      </c>
      <c r="E26" s="2">
        <v>1000</v>
      </c>
      <c r="F26" s="2">
        <f>C26*D26/E26</f>
        <v>186</v>
      </c>
    </row>
    <row r="27" spans="1:6" ht="15.75">
      <c r="A27" s="155"/>
      <c r="B27" s="155"/>
      <c r="C27" s="155"/>
      <c r="D27" s="155"/>
      <c r="E27" s="155"/>
      <c r="F27" s="24">
        <f>SUM(F22:F26)</f>
        <v>558</v>
      </c>
    </row>
    <row r="28" spans="1:6" ht="15.75">
      <c r="A28" s="20"/>
      <c r="B28" s="23"/>
      <c r="C28" s="23"/>
      <c r="D28" s="23"/>
      <c r="E28" s="23"/>
      <c r="F28" s="9"/>
    </row>
    <row r="29" spans="1:6" ht="31.5">
      <c r="A29" s="12" t="s">
        <v>13</v>
      </c>
      <c r="B29" s="8" t="s">
        <v>14</v>
      </c>
      <c r="C29" s="11" t="s">
        <v>2</v>
      </c>
      <c r="D29" s="14" t="s">
        <v>32</v>
      </c>
      <c r="E29" s="11" t="s">
        <v>31</v>
      </c>
      <c r="F29" s="2" t="s">
        <v>15</v>
      </c>
    </row>
    <row r="30" spans="1:6" ht="15.75">
      <c r="A30" s="149" t="s">
        <v>33</v>
      </c>
      <c r="B30" s="150"/>
      <c r="C30" s="150"/>
      <c r="D30" s="150"/>
      <c r="E30" s="150"/>
      <c r="F30" s="151"/>
    </row>
    <row r="31" spans="1:6" ht="15.75">
      <c r="A31" s="2" t="s">
        <v>3</v>
      </c>
      <c r="B31" s="142" t="s">
        <v>20</v>
      </c>
      <c r="C31" s="2">
        <f>'хоз.быт.потр.'!F3</f>
        <v>620</v>
      </c>
      <c r="D31" s="2">
        <v>365</v>
      </c>
      <c r="E31" s="2">
        <v>0.3</v>
      </c>
      <c r="F31" s="2">
        <f>E31*C31*D31</f>
        <v>67890</v>
      </c>
    </row>
    <row r="32" spans="1:6" ht="15.75">
      <c r="A32" s="2" t="s">
        <v>4</v>
      </c>
      <c r="B32" s="152"/>
      <c r="C32" s="2">
        <f>'хоз.быт.потр.'!F4</f>
        <v>3875</v>
      </c>
      <c r="D32" s="2">
        <v>365</v>
      </c>
      <c r="E32" s="2">
        <v>0.3</v>
      </c>
      <c r="F32" s="2">
        <f>E32*C32*D32</f>
        <v>424312.5</v>
      </c>
    </row>
    <row r="33" spans="1:6" ht="15.75">
      <c r="A33" s="2" t="s">
        <v>5</v>
      </c>
      <c r="B33" s="152"/>
      <c r="C33" s="2">
        <f>'хоз.быт.потр.'!F5</f>
        <v>4960</v>
      </c>
      <c r="D33" s="2">
        <v>365</v>
      </c>
      <c r="E33" s="2">
        <v>0.3</v>
      </c>
      <c r="F33" s="2">
        <f>E33*C33*D33</f>
        <v>543120</v>
      </c>
    </row>
    <row r="34" spans="1:6" ht="15.75">
      <c r="A34" s="2" t="s">
        <v>6</v>
      </c>
      <c r="B34" s="152"/>
      <c r="C34" s="2">
        <f>'хоз.быт.потр.'!F6</f>
        <v>10230</v>
      </c>
      <c r="D34" s="2">
        <v>365</v>
      </c>
      <c r="E34" s="2">
        <v>0.3</v>
      </c>
      <c r="F34" s="2">
        <f>E34*C34*D34</f>
        <v>1120185</v>
      </c>
    </row>
    <row r="35" spans="1:6" ht="15.75">
      <c r="A35" s="2" t="s">
        <v>7</v>
      </c>
      <c r="B35" s="153"/>
      <c r="C35" s="2">
        <f>'хоз.быт.потр.'!F7</f>
        <v>15500</v>
      </c>
      <c r="D35" s="2">
        <v>365</v>
      </c>
      <c r="E35" s="2">
        <v>0.3</v>
      </c>
      <c r="F35" s="2">
        <f>E35*C35*D35</f>
        <v>1697250</v>
      </c>
    </row>
    <row r="36" spans="1:6" ht="15.75">
      <c r="A36" s="21"/>
      <c r="B36" s="21"/>
      <c r="C36" s="21"/>
      <c r="D36" s="21"/>
      <c r="E36" s="22"/>
      <c r="F36" s="7">
        <f>SUM(F31:F35)</f>
        <v>3852757.5</v>
      </c>
    </row>
    <row r="37" spans="1:6" ht="15.75">
      <c r="A37" s="20"/>
      <c r="B37" s="20"/>
      <c r="C37" s="20"/>
      <c r="D37" s="20"/>
      <c r="E37" s="20"/>
      <c r="F37" s="13"/>
    </row>
    <row r="38" spans="1:6" ht="31.5">
      <c r="A38" s="12" t="s">
        <v>13</v>
      </c>
      <c r="B38" s="8" t="s">
        <v>14</v>
      </c>
      <c r="C38" s="11" t="s">
        <v>2</v>
      </c>
      <c r="D38" s="6" t="s">
        <v>35</v>
      </c>
      <c r="E38" s="17" t="s">
        <v>32</v>
      </c>
      <c r="F38" s="11" t="s">
        <v>15</v>
      </c>
    </row>
    <row r="39" spans="1:6" ht="20.25" customHeight="1">
      <c r="A39" s="149" t="s">
        <v>34</v>
      </c>
      <c r="B39" s="150"/>
      <c r="C39" s="150"/>
      <c r="D39" s="150"/>
      <c r="E39" s="150"/>
      <c r="F39" s="151"/>
    </row>
    <row r="40" spans="1:6" ht="15.75">
      <c r="A40" s="2" t="s">
        <v>3</v>
      </c>
      <c r="B40" s="142" t="s">
        <v>21</v>
      </c>
      <c r="C40" s="11">
        <f>'хоз.быт.потр.'!F3</f>
        <v>620</v>
      </c>
      <c r="D40" s="16">
        <v>0.8</v>
      </c>
      <c r="E40" s="11">
        <v>365</v>
      </c>
      <c r="F40" s="11">
        <f>D40*C40*E40/1000</f>
        <v>181.04</v>
      </c>
    </row>
    <row r="41" spans="1:6" ht="15.75">
      <c r="A41" s="2" t="s">
        <v>4</v>
      </c>
      <c r="B41" s="143"/>
      <c r="C41" s="11">
        <f>'хоз.быт.потр.'!F4</f>
        <v>3875</v>
      </c>
      <c r="D41" s="16">
        <v>0.8</v>
      </c>
      <c r="E41" s="11">
        <v>365</v>
      </c>
      <c r="F41" s="11">
        <f>D41*C41*E41/1000</f>
        <v>1131.5</v>
      </c>
    </row>
    <row r="42" spans="1:6" ht="15.75">
      <c r="A42" s="2" t="s">
        <v>5</v>
      </c>
      <c r="B42" s="143"/>
      <c r="C42" s="11">
        <f>'хоз.быт.потр.'!F5</f>
        <v>4960</v>
      </c>
      <c r="D42" s="16">
        <v>0.8</v>
      </c>
      <c r="E42" s="11">
        <v>365</v>
      </c>
      <c r="F42" s="11">
        <f>D42*C42*E42/1000</f>
        <v>1448.32</v>
      </c>
    </row>
    <row r="43" spans="1:6" ht="15.75">
      <c r="A43" s="2" t="s">
        <v>6</v>
      </c>
      <c r="B43" s="143"/>
      <c r="C43" s="11">
        <f>'хоз.быт.потр.'!F6</f>
        <v>10230</v>
      </c>
      <c r="D43" s="16">
        <v>0.8</v>
      </c>
      <c r="E43" s="11">
        <v>365</v>
      </c>
      <c r="F43" s="11">
        <f>D43*C43*E43/1000</f>
        <v>2987.16</v>
      </c>
    </row>
    <row r="44" spans="1:6" ht="15.75">
      <c r="A44" s="2" t="s">
        <v>7</v>
      </c>
      <c r="B44" s="144"/>
      <c r="C44" s="2">
        <f>'хоз.быт.потр.'!F7</f>
        <v>15500</v>
      </c>
      <c r="D44" s="16">
        <v>0.8</v>
      </c>
      <c r="E44" s="11">
        <v>365</v>
      </c>
      <c r="F44" s="11">
        <f>D44*C44*E44/1000</f>
        <v>4526</v>
      </c>
    </row>
    <row r="45" ht="15.75">
      <c r="F45" s="18">
        <f>SUM(F40:F44)</f>
        <v>10274.02</v>
      </c>
    </row>
    <row r="46" ht="12.75">
      <c r="A46" s="3"/>
    </row>
    <row r="49" spans="1:3" ht="12.75">
      <c r="A49" s="145"/>
      <c r="B49" s="146"/>
      <c r="C49" s="146"/>
    </row>
    <row r="50" spans="1:3" ht="13.5" thickBot="1">
      <c r="A50" s="147"/>
      <c r="B50" s="148"/>
      <c r="C50" s="148"/>
    </row>
    <row r="51" spans="1:3" ht="32.25" thickBot="1">
      <c r="A51" s="30" t="s">
        <v>13</v>
      </c>
      <c r="B51" s="31" t="s">
        <v>14</v>
      </c>
      <c r="C51" s="31" t="s">
        <v>15</v>
      </c>
    </row>
    <row r="52" spans="1:3" ht="32.25" thickBot="1">
      <c r="A52" s="32" t="s">
        <v>36</v>
      </c>
      <c r="B52" s="33" t="s">
        <v>16</v>
      </c>
      <c r="C52" s="33">
        <f>F9</f>
        <v>1759.25</v>
      </c>
    </row>
    <row r="53" spans="1:3" ht="36.75" customHeight="1" thickBot="1">
      <c r="A53" s="32" t="s">
        <v>37</v>
      </c>
      <c r="B53" s="33" t="s">
        <v>17</v>
      </c>
      <c r="C53" s="33">
        <f>F18</f>
        <v>1280734</v>
      </c>
    </row>
    <row r="54" spans="1:3" ht="16.5" thickBot="1">
      <c r="A54" s="32" t="s">
        <v>38</v>
      </c>
      <c r="B54" s="33" t="s">
        <v>18</v>
      </c>
      <c r="C54" s="34">
        <f>F27</f>
        <v>558</v>
      </c>
    </row>
    <row r="55" spans="1:3" ht="16.5" thickBot="1">
      <c r="A55" s="35" t="s">
        <v>19</v>
      </c>
      <c r="B55" s="33" t="s">
        <v>20</v>
      </c>
      <c r="C55" s="36">
        <f>F36</f>
        <v>3852757.5</v>
      </c>
    </row>
    <row r="56" spans="1:3" ht="32.25" thickBot="1">
      <c r="A56" s="32" t="s">
        <v>39</v>
      </c>
      <c r="B56" s="33" t="s">
        <v>21</v>
      </c>
      <c r="C56" s="33">
        <f>F45</f>
        <v>10274.02</v>
      </c>
    </row>
  </sheetData>
  <mergeCells count="15">
    <mergeCell ref="A1:F1"/>
    <mergeCell ref="A12:F12"/>
    <mergeCell ref="A18:E18"/>
    <mergeCell ref="A27:E27"/>
    <mergeCell ref="B13:B17"/>
    <mergeCell ref="A21:F21"/>
    <mergeCell ref="B22:B26"/>
    <mergeCell ref="A3:F3"/>
    <mergeCell ref="B4:B8"/>
    <mergeCell ref="B40:B44"/>
    <mergeCell ref="A49:C49"/>
    <mergeCell ref="A50:C50"/>
    <mergeCell ref="A30:F30"/>
    <mergeCell ref="B31:B35"/>
    <mergeCell ref="A39:F39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32"/>
  <sheetViews>
    <sheetView view="pageBreakPreview" zoomScale="60" workbookViewId="0" topLeftCell="A1">
      <selection activeCell="B2" sqref="B2"/>
    </sheetView>
  </sheetViews>
  <sheetFormatPr defaultColWidth="9.00390625" defaultRowHeight="12.75"/>
  <cols>
    <col min="1" max="1" width="19.00390625" style="0" customWidth="1"/>
    <col min="2" max="2" width="14.625" style="0" customWidth="1"/>
    <col min="3" max="3" width="11.375" style="0" customWidth="1"/>
    <col min="4" max="4" width="10.875" style="0" customWidth="1"/>
    <col min="5" max="5" width="9.875" style="0" customWidth="1"/>
    <col min="6" max="6" width="10.125" style="0" customWidth="1"/>
    <col min="7" max="7" width="12.625" style="0" customWidth="1"/>
    <col min="8" max="8" width="10.375" style="0" customWidth="1"/>
    <col min="9" max="9" width="9.625" style="0" bestFit="1" customWidth="1"/>
  </cols>
  <sheetData>
    <row r="1" spans="1:9" ht="80.25" customHeight="1" thickBot="1">
      <c r="A1" s="53" t="s">
        <v>41</v>
      </c>
      <c r="B1" s="54" t="s">
        <v>62</v>
      </c>
      <c r="C1" s="54" t="s">
        <v>63</v>
      </c>
      <c r="D1" s="54" t="s">
        <v>64</v>
      </c>
      <c r="E1" s="54" t="s">
        <v>65</v>
      </c>
      <c r="F1" s="54" t="s">
        <v>66</v>
      </c>
      <c r="G1" s="55" t="s">
        <v>67</v>
      </c>
      <c r="H1" s="54" t="s">
        <v>68</v>
      </c>
      <c r="I1" s="76">
        <v>0.05</v>
      </c>
    </row>
    <row r="2" spans="1:9" ht="15.75">
      <c r="A2" s="56" t="s">
        <v>3</v>
      </c>
      <c r="B2" s="57">
        <f>B15*'хоз.быт.потр.'!F3/'хоз.быт.потр.'!F8</f>
        <v>29.44759938048529</v>
      </c>
      <c r="C2" s="58">
        <f>B26*'хоз.быт.потр.'!F3/'хоз.быт.потр.'!F8</f>
        <v>26.65860665039915</v>
      </c>
      <c r="D2" s="58">
        <f>B28*'хоз.быт.потр.'!F3/'хоз.быт.потр.'!F8</f>
        <v>71.4948139109213</v>
      </c>
      <c r="E2" s="58">
        <f>B30*'хоз.быт.потр.'!F3/'хоз.быт.потр.'!F8</f>
        <v>10.662940817571691</v>
      </c>
      <c r="F2" s="58">
        <f>B32*'хоз.быт.потр.'!F3/'хоз.быт.потр.'!F8</f>
        <v>28.16214765100671</v>
      </c>
      <c r="G2" s="59">
        <f>SUM(B2:F2)</f>
        <v>166.42610841038413</v>
      </c>
      <c r="H2" s="60">
        <f>G2+C2+B2</f>
        <v>222.53231444126857</v>
      </c>
      <c r="I2" s="61">
        <f>1.05*B2+C2</f>
        <v>57.57858599990871</v>
      </c>
    </row>
    <row r="3" spans="1:9" ht="15.75">
      <c r="A3" s="62" t="s">
        <v>4</v>
      </c>
      <c r="B3" s="41">
        <f>B15*'хоз.быт.потр.'!F4/'хоз.быт.потр.'!F8</f>
        <v>184.04749612803303</v>
      </c>
      <c r="C3" s="43">
        <f>B26*'хоз.быт.потр.'!F4/'хоз.быт.потр.'!F8</f>
        <v>166.61629156499467</v>
      </c>
      <c r="D3" s="43">
        <f>B28*'хоз.быт.потр.'!F4/'хоз.быт.потр.'!F8</f>
        <v>446.8425869432581</v>
      </c>
      <c r="E3" s="43">
        <f>B30*'хоз.быт.потр.'!F4/'хоз.быт.потр.'!F8</f>
        <v>66.64338010982308</v>
      </c>
      <c r="F3" s="43">
        <f>B32*'хоз.быт.потр.'!F4/'хоз.быт.потр.'!F8</f>
        <v>176.01342281879195</v>
      </c>
      <c r="G3" s="48">
        <f>SUM(B3:F3)</f>
        <v>1040.1631775649007</v>
      </c>
      <c r="H3" s="52">
        <f>G3+C3+B3</f>
        <v>1390.8269652579286</v>
      </c>
      <c r="I3" s="63">
        <f>1.05*B3+C3</f>
        <v>359.8661624994294</v>
      </c>
    </row>
    <row r="4" spans="1:9" ht="15.75">
      <c r="A4" s="62" t="s">
        <v>5</v>
      </c>
      <c r="B4" s="41">
        <f>B15*'хоз.быт.потр.'!F5/'хоз.быт.потр.'!F8</f>
        <v>235.58079504388232</v>
      </c>
      <c r="C4" s="43">
        <f>B26*'хоз.быт.потр.'!F5/'хоз.быт.потр.'!F8</f>
        <v>213.2688532031932</v>
      </c>
      <c r="D4" s="43">
        <f>B28*'хоз.быт.потр.'!F5/'хоз.быт.потр.'!F8</f>
        <v>571.9585112873704</v>
      </c>
      <c r="E4" s="43">
        <f>B30*'хоз.быт.потр.'!F5/'хоз.быт.потр.'!F8</f>
        <v>85.30352654057353</v>
      </c>
      <c r="F4" s="43">
        <f>B32*'хоз.быт.потр.'!F5/'хоз.быт.потр.'!F8</f>
        <v>225.29718120805367</v>
      </c>
      <c r="G4" s="48">
        <f>SUM(B4:F4)</f>
        <v>1331.408867283073</v>
      </c>
      <c r="H4" s="52">
        <f>G4+C4+B4</f>
        <v>1780.2585155301485</v>
      </c>
      <c r="I4" s="63">
        <f>1.05*B4+C4</f>
        <v>460.6286879992697</v>
      </c>
    </row>
    <row r="5" spans="1:9" ht="15.75">
      <c r="A5" s="62" t="s">
        <v>6</v>
      </c>
      <c r="B5" s="41">
        <f>B15*'хоз.быт.потр.'!F6/'хоз.быт.потр.'!F8</f>
        <v>485.8853897780072</v>
      </c>
      <c r="C5" s="43">
        <f>B26*'хоз.быт.потр.'!F6/'хоз.быт.потр.'!F8</f>
        <v>439.86700973158594</v>
      </c>
      <c r="D5" s="43">
        <f>B28*'хоз.быт.потр.'!F6/'хоз.быт.потр.'!F8</f>
        <v>1179.6644295302012</v>
      </c>
      <c r="E5" s="43">
        <f>B30*'хоз.быт.потр.'!F6/'хоз.быт.потр.'!F8</f>
        <v>175.93852348993292</v>
      </c>
      <c r="F5" s="43">
        <f>B32*'хоз.быт.потр.'!F6/'хоз.быт.потр.'!F8</f>
        <v>464.6754362416107</v>
      </c>
      <c r="G5" s="48">
        <f>SUM(B5:F5)</f>
        <v>2746.030788771338</v>
      </c>
      <c r="H5" s="52">
        <f>G5+C5+B5</f>
        <v>3671.783188280931</v>
      </c>
      <c r="I5" s="63">
        <f>1.05*B5+C5</f>
        <v>950.0466689984935</v>
      </c>
    </row>
    <row r="6" spans="1:9" ht="16.5" thickBot="1">
      <c r="A6" s="64" t="s">
        <v>7</v>
      </c>
      <c r="B6" s="65">
        <f>B15*'хоз.быт.потр.'!F7/'хоз.быт.потр.'!F8</f>
        <v>736.1899845121321</v>
      </c>
      <c r="C6" s="66">
        <f>B26*'хоз.быт.потр.'!F7/'хоз.быт.потр.'!F8</f>
        <v>666.4651662599787</v>
      </c>
      <c r="D6" s="66">
        <f>B28*'хоз.быт.потр.'!F7/'хоз.быт.потр.'!F8</f>
        <v>1787.3703477730323</v>
      </c>
      <c r="E6" s="66">
        <f>B30*'хоз.быт.потр.'!F7/'хоз.быт.потр.'!F8</f>
        <v>266.57352043929234</v>
      </c>
      <c r="F6" s="66">
        <f>B32*'хоз.быт.потр.'!F7/'хоз.быт.потр.'!F8</f>
        <v>704.0536912751678</v>
      </c>
      <c r="G6" s="67">
        <f>SUM(B6:F6)</f>
        <v>4160.652710259603</v>
      </c>
      <c r="H6" s="68">
        <f>G6+C6+B6</f>
        <v>5563.307861031714</v>
      </c>
      <c r="I6" s="69">
        <f>1.05*B6+C6</f>
        <v>1439.4646499977175</v>
      </c>
    </row>
    <row r="7" spans="1:9" ht="15.75" thickBot="1">
      <c r="A7" s="70" t="s">
        <v>40</v>
      </c>
      <c r="B7" s="71">
        <f aca="true" t="shared" si="0" ref="B7:I7">SUM(B2:B6)</f>
        <v>1671.15126484254</v>
      </c>
      <c r="C7" s="72">
        <f t="shared" si="0"/>
        <v>1512.8759274101517</v>
      </c>
      <c r="D7" s="72">
        <f t="shared" si="0"/>
        <v>4057.3306894447833</v>
      </c>
      <c r="E7" s="72">
        <f t="shared" si="0"/>
        <v>605.1218913971936</v>
      </c>
      <c r="F7" s="72">
        <f t="shared" si="0"/>
        <v>1598.2018791946307</v>
      </c>
      <c r="G7" s="73">
        <f t="shared" si="0"/>
        <v>9444.681652289299</v>
      </c>
      <c r="H7" s="74">
        <f t="shared" si="0"/>
        <v>12628.70884454199</v>
      </c>
      <c r="I7" s="75">
        <f t="shared" si="0"/>
        <v>3267.5847554948186</v>
      </c>
    </row>
    <row r="12" spans="1:3" ht="18.75">
      <c r="A12" s="44" t="s">
        <v>42</v>
      </c>
      <c r="B12" s="44">
        <v>40975</v>
      </c>
      <c r="C12" s="3"/>
    </row>
    <row r="13" spans="1:5" ht="18.75">
      <c r="A13" s="44" t="s">
        <v>43</v>
      </c>
      <c r="B13" s="45">
        <f>(0.5*'хоз.быт.потр.'!F8*2800+0.4*'хоз.быт.потр.'!F8*8000+0.1*4600*'хоз.быт.потр.'!F8)*1000</f>
        <v>178036100000</v>
      </c>
      <c r="C13" s="3"/>
      <c r="E13" s="82"/>
    </row>
    <row r="14" spans="1:3" ht="18.75">
      <c r="A14" s="44" t="s">
        <v>44</v>
      </c>
      <c r="B14" s="45">
        <f>B13/B12</f>
        <v>4344993.288590604</v>
      </c>
      <c r="C14" s="3"/>
    </row>
    <row r="15" spans="1:3" ht="18.75">
      <c r="A15" s="44" t="s">
        <v>44</v>
      </c>
      <c r="B15" s="46">
        <f>B14/2600</f>
        <v>1671.15126484254</v>
      </c>
      <c r="C15" s="3"/>
    </row>
    <row r="16" spans="1:3" ht="18.75">
      <c r="A16" s="44" t="s">
        <v>45</v>
      </c>
      <c r="B16" s="47">
        <f>8800*1000*'ком.быт.потр.'!C52/('расход газа'!B12*0.6)</f>
        <v>629709.1722595078</v>
      </c>
      <c r="C16" s="3"/>
    </row>
    <row r="17" spans="1:3" ht="18.75">
      <c r="A17" s="44" t="s">
        <v>46</v>
      </c>
      <c r="B17" s="47">
        <f>B16/2900</f>
        <v>217.1410938825889</v>
      </c>
      <c r="C17" s="3"/>
    </row>
    <row r="18" spans="1:3" ht="18.75">
      <c r="A18" s="44" t="s">
        <v>47</v>
      </c>
      <c r="B18" s="49">
        <f>'ком.быт.потр.'!C53*40*1000/(B12*0.6)</f>
        <v>2083764.8972950988</v>
      </c>
      <c r="C18" s="3"/>
    </row>
    <row r="19" spans="1:3" ht="18.75">
      <c r="A19" s="44" t="s">
        <v>48</v>
      </c>
      <c r="B19" s="47">
        <f>B18/2700</f>
        <v>771.7647767759624</v>
      </c>
      <c r="C19" s="3"/>
    </row>
    <row r="20" spans="1:3" ht="18.75">
      <c r="A20" s="44" t="s">
        <v>49</v>
      </c>
      <c r="B20" s="49">
        <f>4.2*1000*'ком.быт.потр.'!C55/(0.6*'расход газа'!B12)</f>
        <v>658189.2007321537</v>
      </c>
      <c r="C20" s="3"/>
    </row>
    <row r="21" spans="1:3" ht="18.75">
      <c r="A21" s="44" t="s">
        <v>50</v>
      </c>
      <c r="B21" s="47">
        <f>B20/2000</f>
        <v>329.09460036607686</v>
      </c>
      <c r="C21" s="3"/>
    </row>
    <row r="22" spans="1:3" ht="18.75">
      <c r="A22" s="44" t="s">
        <v>51</v>
      </c>
      <c r="B22" s="49">
        <f>2500*1000*'ком.быт.потр.'!C56/('расход газа'!B12*0.6)</f>
        <v>1044744.7630669107</v>
      </c>
      <c r="C22" s="3"/>
    </row>
    <row r="23" spans="1:3" ht="18.75">
      <c r="A23" s="44" t="s">
        <v>52</v>
      </c>
      <c r="B23" s="47">
        <f>B22/6000</f>
        <v>174.12412717781845</v>
      </c>
      <c r="C23" s="3"/>
    </row>
    <row r="24" spans="1:3" ht="18.75">
      <c r="A24" s="44" t="s">
        <v>53</v>
      </c>
      <c r="B24" s="49">
        <f>3200*1000*'ком.быт.потр.'!C54/('расход газа'!B12*0.6)</f>
        <v>72629.65222696766</v>
      </c>
      <c r="C24" s="3"/>
    </row>
    <row r="25" spans="1:3" ht="18.75">
      <c r="A25" s="44" t="s">
        <v>54</v>
      </c>
      <c r="B25" s="47">
        <f>B24/3500</f>
        <v>20.751329207705048</v>
      </c>
      <c r="C25" s="3"/>
    </row>
    <row r="26" spans="1:3" ht="18">
      <c r="A26" s="44" t="s">
        <v>55</v>
      </c>
      <c r="B26" s="47">
        <f>B17+B19+B21+B23+B25</f>
        <v>1512.8759274101517</v>
      </c>
      <c r="C26" s="3"/>
    </row>
    <row r="27" spans="1:3" ht="18.75">
      <c r="A27" s="44" t="s">
        <v>58</v>
      </c>
      <c r="B27" s="50">
        <f>(1+0.25)*3.6*'хоз.быт.потр.'!H8*70</f>
        <v>132999300</v>
      </c>
      <c r="C27" s="3"/>
    </row>
    <row r="28" spans="1:2" ht="18.75">
      <c r="A28" s="44" t="s">
        <v>56</v>
      </c>
      <c r="B28" s="42">
        <f>B27/(0.8*B12)</f>
        <v>4057.3306894447833</v>
      </c>
    </row>
    <row r="29" spans="1:2" ht="18.75">
      <c r="A29" s="44" t="s">
        <v>57</v>
      </c>
      <c r="B29" s="51">
        <f>0.6*0.25*3.6*'хоз.быт.потр.'!H8*87</f>
        <v>19835895.6</v>
      </c>
    </row>
    <row r="30" spans="1:2" ht="18.75">
      <c r="A30" s="44" t="s">
        <v>59</v>
      </c>
      <c r="B30" s="42">
        <f>B29/(0.8*B12)</f>
        <v>605.1218913971935</v>
      </c>
    </row>
    <row r="31" spans="1:2" ht="18.75">
      <c r="A31" s="44" t="s">
        <v>61</v>
      </c>
      <c r="B31" s="51">
        <f>2.2*3.6*'хоз.быт.потр.'!F8*0.5*376</f>
        <v>52389057.6</v>
      </c>
    </row>
    <row r="32" spans="1:2" ht="18.75">
      <c r="A32" s="44" t="s">
        <v>60</v>
      </c>
      <c r="B32" s="40">
        <f>B31/(0.8*B12)</f>
        <v>1598.201879194631</v>
      </c>
    </row>
  </sheetData>
  <printOptions/>
  <pageMargins left="0.75" right="0.75" top="1" bottom="1" header="0.5" footer="0.5"/>
  <pageSetup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H3"/>
  <sheetViews>
    <sheetView view="pageBreakPreview" zoomScale="60" workbookViewId="0" topLeftCell="A1">
      <selection activeCell="A3" sqref="A3"/>
    </sheetView>
  </sheetViews>
  <sheetFormatPr defaultColWidth="9.00390625" defaultRowHeight="12.75"/>
  <cols>
    <col min="7" max="7" width="15.25390625" style="0" customWidth="1"/>
  </cols>
  <sheetData>
    <row r="1" spans="1:8" ht="12.75">
      <c r="A1" s="159" t="s">
        <v>138</v>
      </c>
      <c r="B1" s="159" t="s">
        <v>139</v>
      </c>
      <c r="C1" s="160" t="s">
        <v>70</v>
      </c>
      <c r="D1" s="159" t="s">
        <v>140</v>
      </c>
      <c r="E1" s="159" t="s">
        <v>141</v>
      </c>
      <c r="F1" s="159" t="s">
        <v>142</v>
      </c>
      <c r="G1" s="159" t="s">
        <v>143</v>
      </c>
      <c r="H1" s="159" t="s">
        <v>72</v>
      </c>
    </row>
    <row r="2" spans="1:8" ht="12.75">
      <c r="A2" s="159"/>
      <c r="B2" s="159"/>
      <c r="C2" s="160"/>
      <c r="D2" s="159"/>
      <c r="E2" s="159"/>
      <c r="F2" s="159"/>
      <c r="G2" s="159"/>
      <c r="H2" s="159"/>
    </row>
    <row r="3" spans="1:8" ht="12.75">
      <c r="A3" s="136">
        <v>1200</v>
      </c>
      <c r="B3" s="136">
        <v>500000</v>
      </c>
      <c r="C3" s="136">
        <f>(75+0.3*310)*10^-4</f>
        <v>0.016800000000000002</v>
      </c>
      <c r="D3" s="136">
        <f>'расход газа'!H7/'хоз.быт.потр.'!F8</f>
        <v>0.3589230878084977</v>
      </c>
      <c r="E3" s="136">
        <f>250*A3^0.081/(C3^0.245*(310*D3)^0.143)</f>
        <v>615.9181381915613</v>
      </c>
      <c r="F3" s="81">
        <f>2*310*D3*E3^2/10^4</f>
        <v>8441.878018193247</v>
      </c>
      <c r="G3" s="137">
        <f>'хоз.быт.потр.'!D8*10000/(2*(ГРП!E3^2))</f>
        <v>1.4959596451554535</v>
      </c>
      <c r="H3" s="136">
        <v>1</v>
      </c>
    </row>
  </sheetData>
  <mergeCells count="8">
    <mergeCell ref="E1:E2"/>
    <mergeCell ref="F1:F2"/>
    <mergeCell ref="G1:G2"/>
    <mergeCell ref="H1:H2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H8"/>
  <sheetViews>
    <sheetView view="pageBreakPreview" zoomScale="60" workbookViewId="0" topLeftCell="A1">
      <selection activeCell="G7" sqref="G7"/>
    </sheetView>
  </sheetViews>
  <sheetFormatPr defaultColWidth="9.00390625" defaultRowHeight="12.75"/>
  <cols>
    <col min="1" max="1" width="13.625" style="0" customWidth="1"/>
    <col min="2" max="2" width="17.875" style="0" customWidth="1"/>
    <col min="3" max="3" width="15.625" style="0" customWidth="1"/>
    <col min="4" max="4" width="18.75390625" style="0" customWidth="1"/>
    <col min="5" max="5" width="12.375" style="0" customWidth="1"/>
    <col min="6" max="6" width="15.375" style="0" customWidth="1"/>
    <col min="7" max="7" width="12.25390625" style="0" customWidth="1"/>
    <col min="8" max="8" width="10.75390625" style="0" customWidth="1"/>
  </cols>
  <sheetData>
    <row r="1" spans="1:8" ht="12.75">
      <c r="A1" s="161" t="s">
        <v>73</v>
      </c>
      <c r="B1" s="161"/>
      <c r="C1" s="161"/>
      <c r="D1" s="161"/>
      <c r="E1" s="161"/>
      <c r="F1" s="161"/>
      <c r="G1" s="162" t="s">
        <v>80</v>
      </c>
      <c r="H1" s="162" t="s">
        <v>81</v>
      </c>
    </row>
    <row r="2" spans="1:8" ht="60.75" customHeight="1">
      <c r="A2" s="79" t="s">
        <v>74</v>
      </c>
      <c r="B2" s="79" t="s">
        <v>75</v>
      </c>
      <c r="C2" s="83" t="s">
        <v>77</v>
      </c>
      <c r="D2" s="79" t="s">
        <v>76</v>
      </c>
      <c r="E2" s="79" t="s">
        <v>78</v>
      </c>
      <c r="F2" s="84" t="s">
        <v>79</v>
      </c>
      <c r="G2" s="163"/>
      <c r="H2" s="163"/>
    </row>
    <row r="3" spans="1:8" ht="16.5">
      <c r="A3" s="5" t="s">
        <v>3</v>
      </c>
      <c r="B3" s="85">
        <f>'расход газа'!B2</f>
        <v>29.44759938048529</v>
      </c>
      <c r="C3" s="86">
        <f>'расход газа'!C2</f>
        <v>26.65860665039915</v>
      </c>
      <c r="D3" s="90">
        <f>'расход газа'!G2</f>
        <v>166.42610841038413</v>
      </c>
      <c r="E3" s="90">
        <f>'расход газа'!H2</f>
        <v>222.53231444126857</v>
      </c>
      <c r="F3" s="16">
        <f aca="true" t="shared" si="0" ref="F3:F8">E3-D3</f>
        <v>56.10620603088444</v>
      </c>
      <c r="G3" s="16">
        <f>200+200</f>
        <v>400</v>
      </c>
      <c r="H3" s="16">
        <f>F3/G3</f>
        <v>0.14026551507721108</v>
      </c>
    </row>
    <row r="4" spans="1:8" ht="16.5">
      <c r="A4" s="5" t="s">
        <v>4</v>
      </c>
      <c r="B4" s="85">
        <f>'расход газа'!B3</f>
        <v>184.04749612803303</v>
      </c>
      <c r="C4" s="86">
        <f>'расход газа'!C3</f>
        <v>166.61629156499467</v>
      </c>
      <c r="D4" s="90">
        <f>'расход газа'!G3</f>
        <v>1040.1631775649007</v>
      </c>
      <c r="E4" s="90">
        <f>'расход газа'!H3</f>
        <v>1390.8269652579286</v>
      </c>
      <c r="F4" s="16">
        <f t="shared" si="0"/>
        <v>350.66378769302787</v>
      </c>
      <c r="G4" s="16">
        <f>200*2+625*2</f>
        <v>1650</v>
      </c>
      <c r="H4" s="16">
        <f>F4/G4</f>
        <v>0.21252350769274417</v>
      </c>
    </row>
    <row r="5" spans="1:8" ht="16.5">
      <c r="A5" s="5" t="s">
        <v>5</v>
      </c>
      <c r="B5" s="85">
        <f>'расход газа'!B4</f>
        <v>235.58079504388232</v>
      </c>
      <c r="C5" s="86">
        <f>'расход газа'!C4</f>
        <v>213.2688532031932</v>
      </c>
      <c r="D5" s="90">
        <f>'расход газа'!G4</f>
        <v>1331.408867283073</v>
      </c>
      <c r="E5" s="90">
        <f>'расход газа'!H4</f>
        <v>1780.2585155301485</v>
      </c>
      <c r="F5" s="16">
        <f t="shared" si="0"/>
        <v>448.8496482470755</v>
      </c>
      <c r="G5" s="16">
        <f>200*2+800*2</f>
        <v>2000</v>
      </c>
      <c r="H5" s="16">
        <f>F5/G5</f>
        <v>0.22442482412353776</v>
      </c>
    </row>
    <row r="6" spans="1:8" ht="16.5">
      <c r="A6" s="5" t="s">
        <v>6</v>
      </c>
      <c r="B6" s="85">
        <f>'расход газа'!B5</f>
        <v>485.8853897780072</v>
      </c>
      <c r="C6" s="86">
        <f>'расход газа'!C5</f>
        <v>439.86700973158594</v>
      </c>
      <c r="D6" s="90">
        <f>'расход газа'!G5</f>
        <v>2746.030788771338</v>
      </c>
      <c r="E6" s="90">
        <f>'расход газа'!H5</f>
        <v>3671.783188280931</v>
      </c>
      <c r="F6" s="16">
        <f t="shared" si="0"/>
        <v>925.752399509593</v>
      </c>
      <c r="G6" s="16">
        <f>400*2+825*2</f>
        <v>2450</v>
      </c>
      <c r="H6" s="16">
        <f>F6/G6</f>
        <v>0.3778581222488135</v>
      </c>
    </row>
    <row r="7" spans="1:8" ht="16.5">
      <c r="A7" s="5" t="s">
        <v>7</v>
      </c>
      <c r="B7" s="85">
        <f>'расход газа'!B6</f>
        <v>736.1899845121321</v>
      </c>
      <c r="C7" s="86">
        <f>'расход газа'!C6</f>
        <v>666.4651662599787</v>
      </c>
      <c r="D7" s="90">
        <f>'расход газа'!G6</f>
        <v>4160.652710259603</v>
      </c>
      <c r="E7" s="90">
        <f>'расход газа'!H6</f>
        <v>5563.307861031714</v>
      </c>
      <c r="F7" s="16">
        <f t="shared" si="0"/>
        <v>1402.6551507721115</v>
      </c>
      <c r="G7" s="16">
        <f>800*2+625*2</f>
        <v>2850</v>
      </c>
      <c r="H7" s="16">
        <f>F7/G7</f>
        <v>0.4921597020253023</v>
      </c>
    </row>
    <row r="8" spans="1:8" ht="16.5">
      <c r="A8" s="87" t="s">
        <v>40</v>
      </c>
      <c r="B8" s="85">
        <f>'расход газа'!B7</f>
        <v>1671.15126484254</v>
      </c>
      <c r="C8" s="86">
        <f>'расход газа'!C7</f>
        <v>1512.8759274101517</v>
      </c>
      <c r="D8" s="90">
        <f>'расход газа'!G7</f>
        <v>9444.681652289299</v>
      </c>
      <c r="E8" s="90">
        <f>'расход газа'!H7</f>
        <v>12628.70884454199</v>
      </c>
      <c r="F8" s="16">
        <f t="shared" si="0"/>
        <v>3184.0271922526917</v>
      </c>
      <c r="G8" s="16">
        <f>SUM(G3:G7)</f>
        <v>9350</v>
      </c>
      <c r="H8" s="16" t="s">
        <v>82</v>
      </c>
    </row>
  </sheetData>
  <mergeCells count="3">
    <mergeCell ref="A1:F1"/>
    <mergeCell ref="G1:G2"/>
    <mergeCell ref="H1:H2"/>
  </mergeCells>
  <printOptions/>
  <pageMargins left="0.75" right="0.75" top="1" bottom="1" header="0.5" footer="0.5"/>
  <pageSetup orientation="landscape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G18"/>
  <sheetViews>
    <sheetView view="pageBreakPreview" zoomScale="60" workbookViewId="0" topLeftCell="A1">
      <selection activeCell="G17" sqref="G17"/>
    </sheetView>
  </sheetViews>
  <sheetFormatPr defaultColWidth="9.00390625" defaultRowHeight="12.75"/>
  <cols>
    <col min="1" max="1" width="12.625" style="0" customWidth="1"/>
    <col min="2" max="2" width="13.00390625" style="0" customWidth="1"/>
    <col min="3" max="3" width="13.625" style="0" customWidth="1"/>
    <col min="4" max="4" width="18.125" style="0" customWidth="1"/>
    <col min="5" max="5" width="10.00390625" style="0" customWidth="1"/>
    <col min="6" max="6" width="16.125" style="0" customWidth="1"/>
    <col min="7" max="7" width="15.625" style="0" customWidth="1"/>
  </cols>
  <sheetData>
    <row r="1" spans="1:7" ht="25.5" customHeight="1">
      <c r="A1" s="6" t="s">
        <v>83</v>
      </c>
      <c r="B1" s="80" t="s">
        <v>84</v>
      </c>
      <c r="C1" s="80" t="s">
        <v>85</v>
      </c>
      <c r="D1" s="80" t="s">
        <v>104</v>
      </c>
      <c r="E1" s="80" t="s">
        <v>86</v>
      </c>
      <c r="F1" s="80" t="s">
        <v>87</v>
      </c>
      <c r="G1" s="80" t="s">
        <v>88</v>
      </c>
    </row>
    <row r="2" spans="1:7" ht="12.75">
      <c r="A2" s="89" t="s">
        <v>89</v>
      </c>
      <c r="B2" s="16">
        <v>400</v>
      </c>
      <c r="C2" s="90">
        <f>B2*('уд. пут. расходы '!H5+'уд. пут. расходы '!H7)</f>
        <v>286.633810459536</v>
      </c>
      <c r="D2" s="90">
        <f>D3+C3+D13+C13</f>
        <v>1617.645666039868</v>
      </c>
      <c r="E2" s="92">
        <f>1</f>
        <v>1</v>
      </c>
      <c r="F2" s="90">
        <f>(C2+C12)/2</f>
        <v>286.633810459536</v>
      </c>
      <c r="G2" s="90">
        <f>D2+0.75*C2</f>
        <v>1832.6210238845201</v>
      </c>
    </row>
    <row r="3" spans="1:7" ht="12.75">
      <c r="A3" s="89" t="s">
        <v>91</v>
      </c>
      <c r="B3" s="16">
        <v>625</v>
      </c>
      <c r="C3" s="91">
        <f>B3*('уд. пут. расходы '!H6+'уд. пут. расходы '!H7)</f>
        <v>543.7611401713224</v>
      </c>
      <c r="D3" s="90">
        <f>D4+C4+D14+C14</f>
        <v>877.8563121443128</v>
      </c>
      <c r="E3" s="92">
        <f>E2+1</f>
        <v>2</v>
      </c>
      <c r="F3" s="90">
        <f>(C2+C3+C13)/2</f>
        <v>475.4257699526643</v>
      </c>
      <c r="G3" s="90">
        <f aca="true" t="shared" si="0" ref="G3:G15">D3+0.75*C3</f>
        <v>1285.6771672728046</v>
      </c>
    </row>
    <row r="4" spans="1:7" ht="12.75">
      <c r="A4" s="89" t="s">
        <v>92</v>
      </c>
      <c r="B4" s="16">
        <v>400</v>
      </c>
      <c r="C4" s="90">
        <f>B4*'уд. пут. расходы '!H6</f>
        <v>151.1432488995254</v>
      </c>
      <c r="D4" s="90">
        <f>C5</f>
        <v>311.73295085527116</v>
      </c>
      <c r="E4" s="92">
        <f aca="true" t="shared" si="1" ref="E4:E11">E3+1</f>
        <v>3</v>
      </c>
      <c r="F4" s="90">
        <f>(C3+C4+C14)/2</f>
        <v>544.3160753455447</v>
      </c>
      <c r="G4" s="90">
        <f t="shared" si="0"/>
        <v>425.09038752991523</v>
      </c>
    </row>
    <row r="5" spans="1:7" ht="12.75">
      <c r="A5" s="89" t="s">
        <v>93</v>
      </c>
      <c r="B5" s="16">
        <v>825</v>
      </c>
      <c r="C5" s="90">
        <f>B5*'уд. пут. расходы '!H6</f>
        <v>311.73295085527116</v>
      </c>
      <c r="D5" s="90">
        <f>0</f>
        <v>0</v>
      </c>
      <c r="E5" s="92">
        <f t="shared" si="1"/>
        <v>4</v>
      </c>
      <c r="F5" s="90">
        <f>(C4+C5)/2</f>
        <v>231.43809987739826</v>
      </c>
      <c r="G5" s="90">
        <f t="shared" si="0"/>
        <v>233.79971314145337</v>
      </c>
    </row>
    <row r="6" spans="1:7" ht="12.75">
      <c r="A6" s="89" t="s">
        <v>94</v>
      </c>
      <c r="B6" s="16">
        <v>400</v>
      </c>
      <c r="C6" s="90">
        <f>B6*'уд. пут. расходы '!H6</f>
        <v>151.1432488995254</v>
      </c>
      <c r="D6" s="90">
        <f>0</f>
        <v>0</v>
      </c>
      <c r="E6" s="92">
        <f t="shared" si="1"/>
        <v>5</v>
      </c>
      <c r="F6" s="90">
        <f>(C5+C6)/2</f>
        <v>231.43809987739826</v>
      </c>
      <c r="G6" s="90">
        <f t="shared" si="0"/>
        <v>113.35743667464405</v>
      </c>
    </row>
    <row r="7" spans="1:7" ht="12.75">
      <c r="A7" s="89" t="s">
        <v>95</v>
      </c>
      <c r="B7" s="16">
        <v>800</v>
      </c>
      <c r="C7" s="90">
        <f>B7*'уд. пут. расходы '!H5</f>
        <v>179.5398592988302</v>
      </c>
      <c r="D7" s="90">
        <f>C6/2</f>
        <v>75.5716244497627</v>
      </c>
      <c r="E7" s="92">
        <f t="shared" si="1"/>
        <v>6</v>
      </c>
      <c r="F7" s="90">
        <f>(C6+C7+C13)/2</f>
        <v>225.56984873641295</v>
      </c>
      <c r="G7" s="90">
        <f t="shared" si="0"/>
        <v>210.22651892388535</v>
      </c>
    </row>
    <row r="8" spans="1:7" ht="12.75">
      <c r="A8" s="89" t="s">
        <v>96</v>
      </c>
      <c r="B8" s="16">
        <v>200</v>
      </c>
      <c r="C8" s="90">
        <f>B8*('уд. пут. расходы '!H3+'уд. пут. расходы '!H4)</f>
        <v>70.55780455399105</v>
      </c>
      <c r="D8" s="90">
        <f>D7+C7</f>
        <v>255.1114837485929</v>
      </c>
      <c r="E8" s="92">
        <f t="shared" si="1"/>
        <v>7</v>
      </c>
      <c r="F8" s="90">
        <f>(C7+C8)/2</f>
        <v>125.04883192641063</v>
      </c>
      <c r="G8" s="90">
        <f t="shared" si="0"/>
        <v>308.0298371640862</v>
      </c>
    </row>
    <row r="9" spans="1:7" ht="12.75">
      <c r="A9" s="89" t="s">
        <v>97</v>
      </c>
      <c r="B9" s="16">
        <v>200</v>
      </c>
      <c r="C9" s="90">
        <f>B9*('уд. пут. расходы '!H3+'уд. пут. расходы '!H4)</f>
        <v>70.55780455399105</v>
      </c>
      <c r="D9" s="90">
        <f>C10</f>
        <v>132.8271923079651</v>
      </c>
      <c r="E9" s="92">
        <f t="shared" si="1"/>
        <v>8</v>
      </c>
      <c r="F9" s="90">
        <f>(C8+C9+C12+C15)/2</f>
        <v>434.08821282064855</v>
      </c>
      <c r="G9" s="90">
        <f t="shared" si="0"/>
        <v>185.7455457234584</v>
      </c>
    </row>
    <row r="10" spans="1:7" ht="12.75">
      <c r="A10" s="89" t="s">
        <v>98</v>
      </c>
      <c r="B10" s="16">
        <v>625</v>
      </c>
      <c r="C10" s="90">
        <f>B10*'уд. пут. расходы '!H4</f>
        <v>132.8271923079651</v>
      </c>
      <c r="D10" s="90">
        <f>0</f>
        <v>0</v>
      </c>
      <c r="E10" s="92">
        <f t="shared" si="1"/>
        <v>9</v>
      </c>
      <c r="F10" s="90">
        <f>(C9+C10)/2</f>
        <v>101.69249843097808</v>
      </c>
      <c r="G10" s="90">
        <f t="shared" si="0"/>
        <v>99.62039423097383</v>
      </c>
    </row>
    <row r="11" spans="1:7" ht="12.75">
      <c r="A11" s="89" t="s">
        <v>99</v>
      </c>
      <c r="B11" s="16">
        <v>200</v>
      </c>
      <c r="C11" s="90">
        <f>B11*'уд. пут. расходы '!H4</f>
        <v>42.50470153854884</v>
      </c>
      <c r="D11" s="90">
        <f>0</f>
        <v>0</v>
      </c>
      <c r="E11" s="92">
        <f t="shared" si="1"/>
        <v>10</v>
      </c>
      <c r="F11" s="90">
        <f>(C10+C11)/2</f>
        <v>87.66594692325697</v>
      </c>
      <c r="G11" s="90">
        <f t="shared" si="0"/>
        <v>31.87852615391163</v>
      </c>
    </row>
    <row r="12" spans="1:7" ht="12.75">
      <c r="A12" s="89" t="s">
        <v>90</v>
      </c>
      <c r="B12" s="16">
        <v>400</v>
      </c>
      <c r="C12" s="90">
        <f>B12*('уд. пут. расходы '!H5+'уд. пут. расходы '!H7)</f>
        <v>286.633810459536</v>
      </c>
      <c r="D12" s="90">
        <f>D9+C9+D8+C8+D15+C15</f>
        <v>990.7336420075935</v>
      </c>
      <c r="E12" s="92">
        <f>E11+1</f>
        <v>11</v>
      </c>
      <c r="F12" s="90">
        <f>(C11+C14+C15)/2</f>
        <v>438.32973461628484</v>
      </c>
      <c r="G12" s="90">
        <f t="shared" si="0"/>
        <v>1205.7089998522456</v>
      </c>
    </row>
    <row r="13" spans="1:7" ht="12.75">
      <c r="A13" s="89" t="s">
        <v>100</v>
      </c>
      <c r="B13" s="16">
        <v>200</v>
      </c>
      <c r="C13" s="90">
        <f>B13*('уд. пут. расходы '!H5+'уд. пут. расходы '!H6)</f>
        <v>120.45658927447025</v>
      </c>
      <c r="D13" s="90">
        <f>C6/2</f>
        <v>75.5716244497627</v>
      </c>
      <c r="E13" s="88"/>
      <c r="F13" s="90">
        <f>SUM(F2:F12)</f>
        <v>3181.6469289665333</v>
      </c>
      <c r="G13" s="90">
        <f t="shared" si="0"/>
        <v>165.91406640561536</v>
      </c>
    </row>
    <row r="14" spans="1:7" ht="12.75">
      <c r="A14" s="89" t="s">
        <v>101</v>
      </c>
      <c r="B14" s="16">
        <v>800</v>
      </c>
      <c r="C14" s="90">
        <f>B14*'уд. пут. расходы '!H7</f>
        <v>393.72776162024184</v>
      </c>
      <c r="D14" s="90">
        <f>C11/2</f>
        <v>21.25235076927442</v>
      </c>
      <c r="E14" s="88"/>
      <c r="F14" s="88"/>
      <c r="G14" s="90">
        <f t="shared" si="0"/>
        <v>316.5481719844558</v>
      </c>
    </row>
    <row r="15" spans="1:7" ht="12.75">
      <c r="A15" s="89" t="s">
        <v>102</v>
      </c>
      <c r="B15" s="16">
        <v>625</v>
      </c>
      <c r="C15" s="90">
        <f>B15*('уд. пут. расходы '!H4+'уд. пут. расходы '!H7)</f>
        <v>440.427006073779</v>
      </c>
      <c r="D15" s="90">
        <f>C11/2</f>
        <v>21.25235076927442</v>
      </c>
      <c r="E15" s="88"/>
      <c r="F15" s="88"/>
      <c r="G15" s="90">
        <f t="shared" si="0"/>
        <v>351.5726053246087</v>
      </c>
    </row>
    <row r="16" spans="1:7" ht="12.75">
      <c r="A16" s="89" t="s">
        <v>103</v>
      </c>
      <c r="B16" s="16">
        <v>40</v>
      </c>
      <c r="C16" s="90" t="s">
        <v>82</v>
      </c>
      <c r="D16" s="90"/>
      <c r="E16" s="88"/>
      <c r="F16" s="90" t="s">
        <v>105</v>
      </c>
      <c r="G16" s="90">
        <f>G2+G12</f>
        <v>3038.3300237367657</v>
      </c>
    </row>
    <row r="17" spans="1:7" ht="12.75">
      <c r="A17" s="81"/>
      <c r="B17" s="81"/>
      <c r="C17" s="90">
        <f>SUM(C2:C16)</f>
        <v>3181.646928966534</v>
      </c>
      <c r="D17" s="90">
        <f>SUM(D2:D16)</f>
        <v>4379.555197541677</v>
      </c>
      <c r="E17" s="93"/>
      <c r="F17" s="90" t="s">
        <v>106</v>
      </c>
      <c r="G17" s="90">
        <f>(C17-G16)/C17*100</f>
        <v>4.504488034953659</v>
      </c>
    </row>
    <row r="18" spans="2:3" ht="12.75">
      <c r="B18" s="90" t="s">
        <v>106</v>
      </c>
      <c r="C18" s="97">
        <f>(C17-'уд. пут. расходы '!F8)/C17*100</f>
        <v>-0.0748123012798007</v>
      </c>
    </row>
  </sheetData>
  <printOptions/>
  <pageMargins left="0.75" right="0.75" top="1" bottom="1" header="0.5" footer="0.5"/>
  <pageSetup orientation="landscape" paperSize="9" scale="12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W40"/>
  <sheetViews>
    <sheetView tabSelected="1" view="pageBreakPreview" zoomScale="60" workbookViewId="0" topLeftCell="A1">
      <selection activeCell="M24" sqref="M24"/>
    </sheetView>
  </sheetViews>
  <sheetFormatPr defaultColWidth="9.00390625" defaultRowHeight="12.75"/>
  <sheetData>
    <row r="1" spans="1:23" ht="18.75">
      <c r="A1" s="164" t="s">
        <v>107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</row>
    <row r="2" spans="1:23" ht="25.5">
      <c r="A2" s="98" t="s">
        <v>108</v>
      </c>
      <c r="B2" s="98" t="s">
        <v>109</v>
      </c>
      <c r="C2" s="99" t="s">
        <v>110</v>
      </c>
      <c r="D2" s="98" t="s">
        <v>111</v>
      </c>
      <c r="E2" s="98" t="s">
        <v>112</v>
      </c>
      <c r="F2" s="98" t="s">
        <v>113</v>
      </c>
      <c r="G2" s="98" t="s">
        <v>114</v>
      </c>
      <c r="H2" s="98" t="s">
        <v>70</v>
      </c>
      <c r="I2" s="98" t="s">
        <v>115</v>
      </c>
      <c r="J2" s="98" t="s">
        <v>116</v>
      </c>
      <c r="K2" s="98" t="s">
        <v>117</v>
      </c>
      <c r="L2" s="98" t="s">
        <v>118</v>
      </c>
      <c r="M2" s="100" t="s">
        <v>119</v>
      </c>
      <c r="N2" s="98" t="s">
        <v>120</v>
      </c>
      <c r="O2" s="98" t="s">
        <v>121</v>
      </c>
      <c r="P2" s="98" t="s">
        <v>122</v>
      </c>
      <c r="Q2" s="98" t="s">
        <v>123</v>
      </c>
      <c r="R2" s="98" t="s">
        <v>124</v>
      </c>
      <c r="S2" s="98" t="s">
        <v>71</v>
      </c>
      <c r="T2" s="98" t="s">
        <v>125</v>
      </c>
      <c r="U2" s="98" t="s">
        <v>126</v>
      </c>
      <c r="V2" s="98" t="s">
        <v>127</v>
      </c>
      <c r="W2" s="100" t="s">
        <v>128</v>
      </c>
    </row>
    <row r="3" spans="1:23" ht="12.75">
      <c r="A3" s="165" t="str">
        <f>C12</f>
        <v>I</v>
      </c>
      <c r="B3" s="95" t="s">
        <v>89</v>
      </c>
      <c r="C3" s="96" t="s">
        <v>144</v>
      </c>
      <c r="D3" s="16">
        <f>'Узловой расход'!B2</f>
        <v>400</v>
      </c>
      <c r="E3" s="101">
        <f>'Узловой расход'!G2</f>
        <v>1832.6210238845201</v>
      </c>
      <c r="F3" s="100">
        <v>626</v>
      </c>
      <c r="G3" s="100">
        <v>0.022</v>
      </c>
      <c r="H3" s="100">
        <v>2</v>
      </c>
      <c r="I3" s="100">
        <v>5</v>
      </c>
      <c r="J3" s="100">
        <v>3000</v>
      </c>
      <c r="K3" s="102">
        <f>J3/(1.1*(D3+D4))</f>
        <v>4.545454545454546</v>
      </c>
      <c r="L3" s="102">
        <f>((F3*G3*0.73*E3^H3)/K3)^(1/I3)</f>
        <v>23.6688728596974</v>
      </c>
      <c r="M3" s="100">
        <v>25.5</v>
      </c>
      <c r="N3" s="103">
        <v>1.43E-05</v>
      </c>
      <c r="O3" s="104">
        <f>0.0354*(E3/(M3*N3))</f>
        <v>177909.73329360213</v>
      </c>
      <c r="P3" s="104">
        <f>O3*(0.01/M3)</f>
        <v>69.76852286023613</v>
      </c>
      <c r="Q3" s="105">
        <f>0.11*((0.01/M3)+(68/O3))^0.25</f>
        <v>0.018349754511058476</v>
      </c>
      <c r="R3" s="106">
        <f>0.07*D3</f>
        <v>28.000000000000004</v>
      </c>
      <c r="S3" s="107">
        <f>D3+R3</f>
        <v>428</v>
      </c>
      <c r="T3" s="106">
        <f>626.1*Q3*((E3^2)/(M3^5))*0.73*S3</f>
        <v>1118.1112526801346</v>
      </c>
      <c r="U3" s="105">
        <f>T3/E3</f>
        <v>0.6101159149152</v>
      </c>
      <c r="V3" s="168">
        <f>-(T8)/(1.75*U8)</f>
        <v>7.689762033546444</v>
      </c>
      <c r="W3" s="108">
        <f>1.1*T3</f>
        <v>1229.922377948148</v>
      </c>
    </row>
    <row r="4" spans="1:23" ht="12.75">
      <c r="A4" s="166"/>
      <c r="B4" s="95" t="s">
        <v>100</v>
      </c>
      <c r="C4" s="96" t="s">
        <v>145</v>
      </c>
      <c r="D4" s="16">
        <f>'Узловой расход'!B13</f>
        <v>200</v>
      </c>
      <c r="E4" s="101">
        <f>'Узловой расход'!G13</f>
        <v>165.91406640561536</v>
      </c>
      <c r="F4" s="100">
        <v>626</v>
      </c>
      <c r="G4" s="100">
        <v>0.022</v>
      </c>
      <c r="H4" s="100">
        <v>2</v>
      </c>
      <c r="I4" s="100">
        <v>5</v>
      </c>
      <c r="J4" s="100">
        <f>J3</f>
        <v>3000</v>
      </c>
      <c r="K4" s="102">
        <f>J4/(1.1*(D4))</f>
        <v>13.636363636363635</v>
      </c>
      <c r="L4" s="102">
        <f>((F4*G4*0.73*E4^H4)/K4)^(1/I4)</f>
        <v>7.269048107784547</v>
      </c>
      <c r="M4" s="100">
        <v>9.8</v>
      </c>
      <c r="N4" s="103">
        <v>1.43E-05</v>
      </c>
      <c r="O4" s="104">
        <f>0.0354*(E4/(M4*N4))</f>
        <v>41910.64614498917</v>
      </c>
      <c r="P4" s="104">
        <f>O4*(0.01/M4)</f>
        <v>42.76596545407058</v>
      </c>
      <c r="Q4" s="105">
        <f>0.11*((0.01/M4)+(68/O4))^0.25</f>
        <v>0.02494096083234662</v>
      </c>
      <c r="R4" s="106">
        <f>0.07*D4</f>
        <v>14.000000000000002</v>
      </c>
      <c r="S4" s="107">
        <f>D4+R4</f>
        <v>214</v>
      </c>
      <c r="T4" s="106">
        <f>626.1*Q4*((E4^2)/(M4^5))*0.73*S4</f>
        <v>742.8986247460564</v>
      </c>
      <c r="U4" s="105">
        <f>T4/E4</f>
        <v>4.477610855066795</v>
      </c>
      <c r="V4" s="169"/>
      <c r="W4" s="108">
        <f>1.1*T4</f>
        <v>817.1884872206621</v>
      </c>
    </row>
    <row r="5" spans="1:23" ht="12.75">
      <c r="A5" s="166"/>
      <c r="B5" s="95" t="s">
        <v>90</v>
      </c>
      <c r="C5" s="96" t="s">
        <v>144</v>
      </c>
      <c r="D5" s="16">
        <f>'Узловой расход'!B12</f>
        <v>400</v>
      </c>
      <c r="E5" s="101">
        <f>'Узловой расход'!G12</f>
        <v>1205.7089998522456</v>
      </c>
      <c r="F5" s="100">
        <v>626</v>
      </c>
      <c r="G5" s="100">
        <v>0.022</v>
      </c>
      <c r="H5" s="100">
        <v>2</v>
      </c>
      <c r="I5" s="100">
        <v>5</v>
      </c>
      <c r="J5" s="100">
        <f>J4</f>
        <v>3000</v>
      </c>
      <c r="K5" s="102">
        <f>J5/(1.1*(D5+D6+D7))</f>
        <v>1.9480519480519478</v>
      </c>
      <c r="L5" s="102">
        <f>((F5*G5*0.73*E5^H5)/K5)^(1/I5)</f>
        <v>23.715968733799397</v>
      </c>
      <c r="M5" s="100">
        <v>31.5</v>
      </c>
      <c r="N5" s="103">
        <v>1.43E-05</v>
      </c>
      <c r="O5" s="104">
        <f>0.0354*(E5/(M5*N5))</f>
        <v>94754.35363474191</v>
      </c>
      <c r="P5" s="104">
        <f>O5*(0.01/M5)</f>
        <v>30.080747185632355</v>
      </c>
      <c r="Q5" s="105">
        <f>0.11*((0.01/M5)+(68/O5))^0.25</f>
        <v>0.019730533717401768</v>
      </c>
      <c r="R5" s="106">
        <f>0.07*D5</f>
        <v>28.000000000000004</v>
      </c>
      <c r="S5" s="107">
        <f>D5+R5</f>
        <v>428</v>
      </c>
      <c r="T5" s="106">
        <f>-626.1*Q5*((E5^2)/(M5^5))*0.73*S5</f>
        <v>-180.91784353767966</v>
      </c>
      <c r="U5" s="105">
        <f>-T5/E5</f>
        <v>0.15005100199123533</v>
      </c>
      <c r="V5" s="169"/>
      <c r="W5" s="108">
        <f>-1.1*T5</f>
        <v>199.00962789144765</v>
      </c>
    </row>
    <row r="6" spans="1:23" ht="12.75">
      <c r="A6" s="166"/>
      <c r="B6" s="95" t="s">
        <v>129</v>
      </c>
      <c r="C6" s="96" t="s">
        <v>82</v>
      </c>
      <c r="D6" s="16">
        <f>'Узловой расход'!B8</f>
        <v>200</v>
      </c>
      <c r="E6" s="101">
        <f>'Узловой расход'!G8</f>
        <v>308.0298371640862</v>
      </c>
      <c r="F6" s="100">
        <v>626</v>
      </c>
      <c r="G6" s="100">
        <v>0.022</v>
      </c>
      <c r="H6" s="100">
        <v>2</v>
      </c>
      <c r="I6" s="100">
        <v>5</v>
      </c>
      <c r="J6" s="100">
        <f>J5</f>
        <v>3000</v>
      </c>
      <c r="K6" s="102">
        <f>J6/(1.1*(D6+D7))</f>
        <v>2.727272727272727</v>
      </c>
      <c r="L6" s="102">
        <f>((F6*G6*0.73*E6^H6)/K6)^(1/I6)</f>
        <v>12.84562901795555</v>
      </c>
      <c r="M6" s="100">
        <v>14.8</v>
      </c>
      <c r="N6" s="103">
        <v>1.43E-05</v>
      </c>
      <c r="O6" s="104">
        <f>0.0354*(E6/(M6*N6))</f>
        <v>51522.66223591311</v>
      </c>
      <c r="P6" s="104">
        <f>O6*(0.01/M6)</f>
        <v>34.8126096188602</v>
      </c>
      <c r="Q6" s="105">
        <f>0.11*((0.01/M6)+(68/O6))^0.25</f>
        <v>0.02324902299112654</v>
      </c>
      <c r="R6" s="106">
        <f>0.07*D6</f>
        <v>14.000000000000002</v>
      </c>
      <c r="S6" s="107">
        <f>D6+R6</f>
        <v>214</v>
      </c>
      <c r="T6" s="106">
        <f>-626.1*Q6*((E6^2)/(M6^5))*0.73*S6</f>
        <v>-303.8519583696659</v>
      </c>
      <c r="U6" s="105">
        <f>-T6/E6</f>
        <v>0.9864367723825574</v>
      </c>
      <c r="V6" s="169"/>
      <c r="W6" s="108">
        <f>-1.1*T6</f>
        <v>334.2371542066325</v>
      </c>
    </row>
    <row r="7" spans="1:23" ht="12.75">
      <c r="A7" s="167"/>
      <c r="B7" s="95" t="s">
        <v>130</v>
      </c>
      <c r="C7" s="94" t="s">
        <v>82</v>
      </c>
      <c r="D7" s="16">
        <f>'Узловой расход'!B7</f>
        <v>800</v>
      </c>
      <c r="E7" s="110">
        <f>'Узловой расход'!G7</f>
        <v>210.22651892388535</v>
      </c>
      <c r="F7" s="100">
        <v>626</v>
      </c>
      <c r="G7" s="100">
        <v>0.022</v>
      </c>
      <c r="H7" s="100">
        <v>2</v>
      </c>
      <c r="I7" s="100">
        <v>5</v>
      </c>
      <c r="J7" s="100">
        <f>J6</f>
        <v>3000</v>
      </c>
      <c r="K7" s="102">
        <f>J7/(1.1*D7)</f>
        <v>3.4090909090909087</v>
      </c>
      <c r="L7" s="102">
        <f>((F7*G7*0.73*E7^H7)/K7)^(1/I7)</f>
        <v>10.544142289082517</v>
      </c>
      <c r="M7" s="100">
        <v>12.2</v>
      </c>
      <c r="N7" s="103">
        <v>1.43E-05</v>
      </c>
      <c r="O7" s="104">
        <f>0.0354*(E7/(M7*N7))</f>
        <v>42657.4502459334</v>
      </c>
      <c r="P7" s="104">
        <f>O7*(0.01/M7)</f>
        <v>34.96512315240443</v>
      </c>
      <c r="Q7" s="105">
        <f>0.11*((0.01/M7)+(68/O7))^0.25</f>
        <v>0.02438184116566111</v>
      </c>
      <c r="R7" s="106">
        <f>0.07*D7</f>
        <v>56.00000000000001</v>
      </c>
      <c r="S7" s="107">
        <f>D7+R7</f>
        <v>856</v>
      </c>
      <c r="T7" s="106">
        <f>-626.1*Q7*((E7^2)/(M7^5))*0.73*S7</f>
        <v>-1559.8494028233729</v>
      </c>
      <c r="U7" s="105">
        <f>-T7/E7</f>
        <v>7.419850791460483</v>
      </c>
      <c r="V7" s="170"/>
      <c r="W7" s="108">
        <f>-1.1*T7</f>
        <v>1715.8343431057103</v>
      </c>
    </row>
    <row r="8" spans="1:23" ht="12.75">
      <c r="A8" s="111"/>
      <c r="B8" s="112"/>
      <c r="C8" s="113"/>
      <c r="D8" s="114"/>
      <c r="E8" s="115"/>
      <c r="F8" s="112"/>
      <c r="G8" s="112"/>
      <c r="H8" s="112"/>
      <c r="I8" s="112"/>
      <c r="J8" s="112"/>
      <c r="K8" s="112"/>
      <c r="L8" s="112"/>
      <c r="M8" s="112"/>
      <c r="N8" s="116"/>
      <c r="O8" s="117"/>
      <c r="P8" s="117"/>
      <c r="Q8" s="118"/>
      <c r="R8" s="119"/>
      <c r="S8" s="120" t="s">
        <v>131</v>
      </c>
      <c r="T8" s="119">
        <f>SUM(T3:T7)</f>
        <v>-183.60932730452737</v>
      </c>
      <c r="U8" s="121">
        <f>SUM(U3:U7)</f>
        <v>13.64406533581627</v>
      </c>
      <c r="V8" s="117"/>
      <c r="W8" s="108">
        <f>SUM(W3:W7)</f>
        <v>4296.1919903726</v>
      </c>
    </row>
    <row r="9" spans="1:23" ht="12.75">
      <c r="A9" s="165" t="str">
        <f>C5</f>
        <v>III</v>
      </c>
      <c r="B9" s="95" t="s">
        <v>91</v>
      </c>
      <c r="C9" s="122" t="s">
        <v>144</v>
      </c>
      <c r="D9" s="123">
        <f>'Узловой расход'!B3</f>
        <v>625</v>
      </c>
      <c r="E9" s="124">
        <f>'Узловой расход'!G3</f>
        <v>1285.6771672728046</v>
      </c>
      <c r="F9" s="100">
        <v>626</v>
      </c>
      <c r="G9" s="100">
        <v>0.022</v>
      </c>
      <c r="H9" s="100">
        <v>2</v>
      </c>
      <c r="I9" s="100">
        <v>5</v>
      </c>
      <c r="J9" s="100">
        <f>J7</f>
        <v>3000</v>
      </c>
      <c r="K9" s="102">
        <f>J9/(1.1*(D9+D10+D11))</f>
        <v>1.474201474201474</v>
      </c>
      <c r="L9" s="102">
        <f>((F9*G9*0.73*E9^H9)/K9)^(1/I9)</f>
        <v>25.72796161269481</v>
      </c>
      <c r="M9" s="100">
        <v>25.5</v>
      </c>
      <c r="N9" s="103">
        <v>1.43E-05</v>
      </c>
      <c r="O9" s="104">
        <f>0.0354*(E9/(M9*N9))</f>
        <v>124812.75667477658</v>
      </c>
      <c r="P9" s="104">
        <f>O9*(0.01/M9)</f>
        <v>48.94617908814768</v>
      </c>
      <c r="Q9" s="105">
        <f>0.11*((0.01/M9)+(68/O9))^0.25</f>
        <v>0.01924528959495336</v>
      </c>
      <c r="R9" s="106">
        <f>0.07*D9</f>
        <v>43.75000000000001</v>
      </c>
      <c r="S9" s="107">
        <f>D9+R9</f>
        <v>668.75</v>
      </c>
      <c r="T9" s="106">
        <f>626.1*Q9*((E9^2)/(M9^5))*0.73*S9</f>
        <v>901.8156541666092</v>
      </c>
      <c r="U9" s="105">
        <f>T9/E9</f>
        <v>0.7014324257461556</v>
      </c>
      <c r="V9" s="168">
        <f>-(T14)/(1.75*U14)</f>
        <v>7.641420978801161</v>
      </c>
      <c r="W9" s="108">
        <f>1.1*T9</f>
        <v>991.9972195832702</v>
      </c>
    </row>
    <row r="10" spans="1:23" ht="12.75">
      <c r="A10" s="166"/>
      <c r="B10" s="95" t="s">
        <v>92</v>
      </c>
      <c r="C10" s="96" t="s">
        <v>82</v>
      </c>
      <c r="D10" s="100">
        <f>'Узловой расход'!B4</f>
        <v>400</v>
      </c>
      <c r="E10" s="101">
        <f>'Узловой расход'!G4</f>
        <v>425.09038752991523</v>
      </c>
      <c r="F10" s="100">
        <v>626</v>
      </c>
      <c r="G10" s="100">
        <v>0.022</v>
      </c>
      <c r="H10" s="100">
        <v>2</v>
      </c>
      <c r="I10" s="100">
        <v>5</v>
      </c>
      <c r="J10" s="100">
        <f>J9</f>
        <v>3000</v>
      </c>
      <c r="K10" s="102">
        <f>J10/(1.1*(D10+D11))</f>
        <v>2.226345083487941</v>
      </c>
      <c r="L10" s="102">
        <f>((F10*G10*0.73*E10^H10)/K10)^(1/I10)</f>
        <v>15.217313661470588</v>
      </c>
      <c r="M10" s="100">
        <v>14.8</v>
      </c>
      <c r="N10" s="103">
        <v>1.43E-05</v>
      </c>
      <c r="O10" s="104">
        <f>0.0354*(E10/(M10*N10))</f>
        <v>71102.81477300603</v>
      </c>
      <c r="P10" s="104">
        <f>O10*(0.01/M10)</f>
        <v>48.04244241419326</v>
      </c>
      <c r="Q10" s="105">
        <f>0.11*((0.01/M10)+(68/O10))^0.25</f>
        <v>0.022109310658654287</v>
      </c>
      <c r="R10" s="106">
        <f>0.07*D10</f>
        <v>28.000000000000004</v>
      </c>
      <c r="S10" s="107">
        <f>D10+R10</f>
        <v>428</v>
      </c>
      <c r="T10" s="106">
        <f>626.1*Q10*((E10^2)/(M10^5))*0.73*S10</f>
        <v>1100.6253892813604</v>
      </c>
      <c r="U10" s="105">
        <f>T10/E10</f>
        <v>2.5891561455360015</v>
      </c>
      <c r="V10" s="169"/>
      <c r="W10" s="108">
        <f>1.1*T10</f>
        <v>1210.6879282094965</v>
      </c>
    </row>
    <row r="11" spans="1:23" ht="12.75">
      <c r="A11" s="166"/>
      <c r="B11" s="95" t="s">
        <v>93</v>
      </c>
      <c r="C11" s="96" t="s">
        <v>82</v>
      </c>
      <c r="D11" s="100">
        <f>'Узловой расход'!B5</f>
        <v>825</v>
      </c>
      <c r="E11" s="101">
        <f>'Узловой расход'!G5</f>
        <v>233.79971314145337</v>
      </c>
      <c r="F11" s="100">
        <v>626</v>
      </c>
      <c r="G11" s="100">
        <v>0.022</v>
      </c>
      <c r="H11" s="100">
        <v>2</v>
      </c>
      <c r="I11" s="100">
        <v>5</v>
      </c>
      <c r="J11" s="100">
        <f>J10</f>
        <v>3000</v>
      </c>
      <c r="K11" s="102">
        <f>J11/(1.1*(D11))</f>
        <v>3.305785123966942</v>
      </c>
      <c r="L11" s="102">
        <f>((F11*G11*0.73*E11^H11)/K11)^(1/I11)</f>
        <v>11.069975003342233</v>
      </c>
      <c r="M11" s="100">
        <v>12.2</v>
      </c>
      <c r="N11" s="103">
        <v>1.43E-05</v>
      </c>
      <c r="O11" s="104">
        <f>0.0354*(E11/(M11*N11))</f>
        <v>47440.73051248108</v>
      </c>
      <c r="P11" s="104">
        <f>O11*(0.01/M11)</f>
        <v>38.885844682361544</v>
      </c>
      <c r="Q11" s="105">
        <f>0.11*((0.01/M11)+(68/O11))^0.25</f>
        <v>0.023965411562449964</v>
      </c>
      <c r="R11" s="106">
        <f>0.07*D11</f>
        <v>57.75000000000001</v>
      </c>
      <c r="S11" s="107">
        <f>D11+R11</f>
        <v>882.75</v>
      </c>
      <c r="T11" s="106">
        <f>626.1*Q11*((E11^2)/(M11^5))*0.73*S11</f>
        <v>1955.5907587875545</v>
      </c>
      <c r="U11" s="105">
        <f>T11/E11</f>
        <v>8.364384765538118</v>
      </c>
      <c r="V11" s="169"/>
      <c r="W11" s="108">
        <f>1.1*T11</f>
        <v>2151.14983466631</v>
      </c>
    </row>
    <row r="12" spans="1:23" ht="12.75">
      <c r="A12" s="166"/>
      <c r="B12" s="95" t="s">
        <v>100</v>
      </c>
      <c r="C12" s="96" t="s">
        <v>146</v>
      </c>
      <c r="D12" s="100">
        <f>'Узловой расход'!B13</f>
        <v>200</v>
      </c>
      <c r="E12" s="101">
        <f>'Узловой расход'!G13</f>
        <v>165.91406640561536</v>
      </c>
      <c r="F12" s="100">
        <v>626</v>
      </c>
      <c r="G12" s="100">
        <v>0.022</v>
      </c>
      <c r="H12" s="100">
        <v>2</v>
      </c>
      <c r="I12" s="100">
        <v>5</v>
      </c>
      <c r="J12" s="100">
        <f>J11</f>
        <v>3000</v>
      </c>
      <c r="K12" s="102">
        <f>J12/(1.1*(D12+D13))</f>
        <v>4.545454545454546</v>
      </c>
      <c r="L12" s="102">
        <f>((F12*G12*0.73*E12^H12)/K12)^(1/I12)</f>
        <v>9.05527812942084</v>
      </c>
      <c r="M12" s="100">
        <f>M4</f>
        <v>9.8</v>
      </c>
      <c r="N12" s="103">
        <v>1.43E-05</v>
      </c>
      <c r="O12" s="104">
        <f>0.0354*(E12/(M12*N12))</f>
        <v>41910.64614498917</v>
      </c>
      <c r="P12" s="104">
        <f>O12*(0.01/M12)</f>
        <v>42.76596545407058</v>
      </c>
      <c r="Q12" s="105">
        <f>0.11*((0.01/M12)+(68/O12))^0.25</f>
        <v>0.02494096083234662</v>
      </c>
      <c r="R12" s="106">
        <f>0.07*D12</f>
        <v>14.000000000000002</v>
      </c>
      <c r="S12" s="107">
        <f>D12+R12</f>
        <v>214</v>
      </c>
      <c r="T12" s="106">
        <f>-626.1*Q12*((E12^2)/(M12^5))*0.73*S12</f>
        <v>-742.8986247460564</v>
      </c>
      <c r="U12" s="105">
        <f>-T12/E12</f>
        <v>4.477610855066795</v>
      </c>
      <c r="V12" s="169"/>
      <c r="W12" s="108">
        <f>-1.1*T12</f>
        <v>817.1884872206621</v>
      </c>
    </row>
    <row r="13" spans="1:23" ht="12.75">
      <c r="A13" s="167"/>
      <c r="B13" s="95" t="s">
        <v>132</v>
      </c>
      <c r="C13" s="94" t="s">
        <v>82</v>
      </c>
      <c r="D13" s="109">
        <f>'Узловой расход'!B6</f>
        <v>400</v>
      </c>
      <c r="E13" s="110">
        <f>'Узловой расход'!G6</f>
        <v>113.35743667464405</v>
      </c>
      <c r="F13" s="100">
        <v>626</v>
      </c>
      <c r="G13" s="100">
        <v>0.022</v>
      </c>
      <c r="H13" s="100">
        <v>2</v>
      </c>
      <c r="I13" s="100">
        <v>5</v>
      </c>
      <c r="J13" s="100">
        <f>J12</f>
        <v>3000</v>
      </c>
      <c r="K13" s="102">
        <f>J13/(1.1*D13)</f>
        <v>6.8181818181818175</v>
      </c>
      <c r="L13" s="102">
        <f>((F13*G13*0.73*E13^H13)/K13)^(1/I13)</f>
        <v>7.169853235305039</v>
      </c>
      <c r="M13" s="100">
        <v>7</v>
      </c>
      <c r="N13" s="103">
        <v>1.43E-05</v>
      </c>
      <c r="O13" s="104">
        <f>0.0354*(E13/(M13*N13))</f>
        <v>40088.44413868531</v>
      </c>
      <c r="P13" s="104">
        <f>O13*(0.01/M13)</f>
        <v>57.26920591240758</v>
      </c>
      <c r="Q13" s="105">
        <f>0.11*((0.01/M13)+(68/O13))^0.25</f>
        <v>0.02600752148528722</v>
      </c>
      <c r="R13" s="106">
        <f>0.07*D13</f>
        <v>28.000000000000004</v>
      </c>
      <c r="S13" s="107">
        <f>D13+R13</f>
        <v>428</v>
      </c>
      <c r="T13" s="106">
        <f>-626.1*Q13*((E13^2)/(M13^5))*0.73*S13</f>
        <v>-3889.7270966838278</v>
      </c>
      <c r="U13" s="105">
        <f>-T13/E13</f>
        <v>34.31382369599654</v>
      </c>
      <c r="V13" s="170"/>
      <c r="W13" s="108">
        <f>-1.1*T13</f>
        <v>4278.6998063522105</v>
      </c>
    </row>
    <row r="14" spans="1:23" ht="12.75">
      <c r="A14" s="111"/>
      <c r="B14" s="112"/>
      <c r="C14" s="113"/>
      <c r="D14" s="114"/>
      <c r="E14" s="115"/>
      <c r="F14" s="112"/>
      <c r="G14" s="112"/>
      <c r="H14" s="112"/>
      <c r="I14" s="112"/>
      <c r="J14" s="112"/>
      <c r="K14" s="112"/>
      <c r="L14" s="112"/>
      <c r="M14" s="112"/>
      <c r="N14" s="116"/>
      <c r="O14" s="117"/>
      <c r="P14" s="117"/>
      <c r="Q14" s="118"/>
      <c r="R14" s="119"/>
      <c r="S14" s="120" t="s">
        <v>131</v>
      </c>
      <c r="T14" s="119">
        <f>SUM(T9:T13)</f>
        <v>-674.5939191943598</v>
      </c>
      <c r="U14" s="121">
        <f>SUM(U9:U13)</f>
        <v>50.44640788788361</v>
      </c>
      <c r="V14" s="117"/>
      <c r="W14" s="108">
        <f>SUM(W9:W13)</f>
        <v>9449.72327603195</v>
      </c>
    </row>
    <row r="15" spans="1:23" ht="12.75">
      <c r="A15" s="165" t="str">
        <f>C3</f>
        <v>III</v>
      </c>
      <c r="B15" s="95" t="s">
        <v>90</v>
      </c>
      <c r="C15" s="122" t="s">
        <v>146</v>
      </c>
      <c r="D15" s="123">
        <f>'Узловой расход'!B12</f>
        <v>400</v>
      </c>
      <c r="E15" s="124">
        <f>'Узловой расход'!G12</f>
        <v>1205.7089998522456</v>
      </c>
      <c r="F15" s="100">
        <v>626</v>
      </c>
      <c r="G15" s="100">
        <v>0.022</v>
      </c>
      <c r="H15" s="100">
        <v>2</v>
      </c>
      <c r="I15" s="100">
        <v>5</v>
      </c>
      <c r="J15" s="100">
        <f>J13</f>
        <v>3000</v>
      </c>
      <c r="K15" s="102">
        <f>J15/(1.1*(D15+D16))</f>
        <v>2.6607538802660753</v>
      </c>
      <c r="L15" s="102">
        <f>((F15*G15*0.73*E15^H15)/K15)^(1/I15)</f>
        <v>22.28230092137825</v>
      </c>
      <c r="M15" s="100">
        <f>M5</f>
        <v>31.5</v>
      </c>
      <c r="N15" s="103">
        <v>1.43E-05</v>
      </c>
      <c r="O15" s="104">
        <f>0.0354*(E15/(M15*N15))</f>
        <v>94754.35363474191</v>
      </c>
      <c r="P15" s="104">
        <f>O15*(0.01/M15)</f>
        <v>30.080747185632355</v>
      </c>
      <c r="Q15" s="105">
        <f>0.11*((0.01/M15)+(68/O15))^0.25</f>
        <v>0.019730533717401768</v>
      </c>
      <c r="R15" s="106">
        <f>0.07*D15</f>
        <v>28.000000000000004</v>
      </c>
      <c r="S15" s="107">
        <f>D15+R15</f>
        <v>428</v>
      </c>
      <c r="T15" s="106">
        <f>626.1*Q15*((E15^2)/(M15^5))*0.73*S15</f>
        <v>180.91784353767966</v>
      </c>
      <c r="U15" s="105">
        <f>T15/E15</f>
        <v>0.15005100199123533</v>
      </c>
      <c r="V15" s="168">
        <f>-(T20)/(1.75*U20)</f>
        <v>-1.5144625995696435</v>
      </c>
      <c r="W15" s="108">
        <f>1.1*T15</f>
        <v>199.00962789144765</v>
      </c>
    </row>
    <row r="16" spans="1:23" ht="12.75">
      <c r="A16" s="166"/>
      <c r="B16" s="95" t="s">
        <v>102</v>
      </c>
      <c r="C16" s="96" t="s">
        <v>147</v>
      </c>
      <c r="D16" s="100">
        <f>'Узловой расход'!B15</f>
        <v>625</v>
      </c>
      <c r="E16" s="101">
        <f>'Узловой расход'!G15</f>
        <v>351.5726053246087</v>
      </c>
      <c r="F16" s="100">
        <v>626</v>
      </c>
      <c r="G16" s="100">
        <v>0.022</v>
      </c>
      <c r="H16" s="100">
        <v>2</v>
      </c>
      <c r="I16" s="100">
        <v>5</v>
      </c>
      <c r="J16" s="100">
        <f>J15</f>
        <v>3000</v>
      </c>
      <c r="K16" s="102">
        <f>J16/(1.1*(D16))</f>
        <v>4.363636363636363</v>
      </c>
      <c r="L16" s="102">
        <f>((F16*G16*0.73*E16^H16)/K16)^(1/I16)</f>
        <v>12.328217145692731</v>
      </c>
      <c r="M16" s="100">
        <v>12.2</v>
      </c>
      <c r="N16" s="103">
        <v>1.43E-05</v>
      </c>
      <c r="O16" s="104">
        <f>0.0354*(E16/(M16*N16))</f>
        <v>71338.2450331947</v>
      </c>
      <c r="P16" s="104">
        <f>O16*(0.01/M16)</f>
        <v>58.473971338684194</v>
      </c>
      <c r="Q16" s="105">
        <f>0.11*((0.01/M16)+(68/O16))^0.25</f>
        <v>0.022571601218348135</v>
      </c>
      <c r="R16" s="106">
        <f>0.07*D16</f>
        <v>43.75000000000001</v>
      </c>
      <c r="S16" s="107">
        <f>D16+R16</f>
        <v>668.75</v>
      </c>
      <c r="T16" s="106">
        <f>626.1*Q16*((E16^2)/(M16^5))*0.73*S16</f>
        <v>3155.1762849754905</v>
      </c>
      <c r="U16" s="105">
        <f>T16/E16</f>
        <v>8.974465692690423</v>
      </c>
      <c r="V16" s="169"/>
      <c r="W16" s="108">
        <f>1.1*T16</f>
        <v>3470.6939134730396</v>
      </c>
    </row>
    <row r="17" spans="1:23" ht="12.75">
      <c r="A17" s="166"/>
      <c r="B17" s="95" t="s">
        <v>89</v>
      </c>
      <c r="C17" s="96" t="s">
        <v>146</v>
      </c>
      <c r="D17" s="100">
        <f>'Узловой расход'!B2</f>
        <v>400</v>
      </c>
      <c r="E17" s="101">
        <f>'Узловой расход'!G2</f>
        <v>1832.6210238845201</v>
      </c>
      <c r="F17" s="100">
        <v>626</v>
      </c>
      <c r="G17" s="100">
        <v>0.022</v>
      </c>
      <c r="H17" s="100">
        <v>2</v>
      </c>
      <c r="I17" s="100">
        <v>5</v>
      </c>
      <c r="J17" s="100">
        <f>J16</f>
        <v>3000</v>
      </c>
      <c r="K17" s="102">
        <f>J17/(1.1*(D17+D18+D19))</f>
        <v>1.49439601494396</v>
      </c>
      <c r="L17" s="102">
        <f>((F17*G17*0.73*E17^H17)/K17)^(1/I17)</f>
        <v>29.566498875275936</v>
      </c>
      <c r="M17" s="100">
        <f>M3</f>
        <v>25.5</v>
      </c>
      <c r="N17" s="103">
        <v>1.43E-05</v>
      </c>
      <c r="O17" s="104">
        <f>0.0354*(E17/(M17*N17))</f>
        <v>177909.73329360213</v>
      </c>
      <c r="P17" s="104">
        <f>O17*(0.01/M17)</f>
        <v>69.76852286023613</v>
      </c>
      <c r="Q17" s="105">
        <f>0.11*((0.01/M17)+(68/O17))^0.25</f>
        <v>0.018349754511058476</v>
      </c>
      <c r="R17" s="106">
        <f>0.07*D17</f>
        <v>28.000000000000004</v>
      </c>
      <c r="S17" s="107">
        <f>D17+R17</f>
        <v>428</v>
      </c>
      <c r="T17" s="106">
        <f>-626.1*Q17*((E17^2)/(M17^5))*0.73*S17</f>
        <v>-1118.1112526801346</v>
      </c>
      <c r="U17" s="105">
        <f>-T17/E17</f>
        <v>0.6101159149152</v>
      </c>
      <c r="V17" s="169"/>
      <c r="W17" s="108">
        <f>-1.1*T17</f>
        <v>1229.922377948148</v>
      </c>
    </row>
    <row r="18" spans="1:23" ht="12.75">
      <c r="A18" s="166"/>
      <c r="B18" s="95" t="s">
        <v>91</v>
      </c>
      <c r="C18" s="96" t="s">
        <v>145</v>
      </c>
      <c r="D18" s="100">
        <f>'Узловой расход'!B3</f>
        <v>625</v>
      </c>
      <c r="E18" s="101">
        <f>'Узловой расход'!G3</f>
        <v>1285.6771672728046</v>
      </c>
      <c r="F18" s="100">
        <v>626</v>
      </c>
      <c r="G18" s="100">
        <v>0.022</v>
      </c>
      <c r="H18" s="100">
        <v>2</v>
      </c>
      <c r="I18" s="100">
        <v>5</v>
      </c>
      <c r="J18" s="100">
        <f>J17</f>
        <v>3000</v>
      </c>
      <c r="K18" s="102">
        <f>J18/(1.1*(D18+D19))</f>
        <v>1.9138755980861242</v>
      </c>
      <c r="L18" s="102">
        <f>((F18*G18*0.73*E18^H18)/K18)^(1/I18)</f>
        <v>24.419344751694744</v>
      </c>
      <c r="M18" s="100">
        <f>M9</f>
        <v>25.5</v>
      </c>
      <c r="N18" s="103">
        <v>1.43E-05</v>
      </c>
      <c r="O18" s="104">
        <f>0.0354*(E18/(M18*N18))</f>
        <v>124812.75667477658</v>
      </c>
      <c r="P18" s="104">
        <f>O18*(0.01/M18)</f>
        <v>48.94617908814768</v>
      </c>
      <c r="Q18" s="105">
        <f>0.11*((0.01/M18)+(68/O18))^0.25</f>
        <v>0.01924528959495336</v>
      </c>
      <c r="R18" s="106">
        <f>0.07*D18</f>
        <v>43.75000000000001</v>
      </c>
      <c r="S18" s="107">
        <f>D18+R18</f>
        <v>668.75</v>
      </c>
      <c r="T18" s="106">
        <f>-626.1*Q18*((E18^2)/(M18^5))*0.73*S18</f>
        <v>-901.8156541666092</v>
      </c>
      <c r="U18" s="105">
        <f>-T18/E18</f>
        <v>0.7014324257461556</v>
      </c>
      <c r="V18" s="169"/>
      <c r="W18" s="108">
        <f>-1.1*T18</f>
        <v>991.9972195832702</v>
      </c>
    </row>
    <row r="19" spans="1:23" ht="12.75">
      <c r="A19" s="167"/>
      <c r="B19" s="95" t="s">
        <v>101</v>
      </c>
      <c r="C19" s="94" t="s">
        <v>82</v>
      </c>
      <c r="D19" s="109">
        <f>'Узловой расход'!B14</f>
        <v>800</v>
      </c>
      <c r="E19" s="110">
        <f>'Узловой расход'!G14</f>
        <v>316.5481719844558</v>
      </c>
      <c r="F19" s="100">
        <v>626</v>
      </c>
      <c r="G19" s="100">
        <v>0.022</v>
      </c>
      <c r="H19" s="100">
        <v>2</v>
      </c>
      <c r="I19" s="100">
        <v>5</v>
      </c>
      <c r="J19" s="100">
        <f>J18</f>
        <v>3000</v>
      </c>
      <c r="K19" s="102">
        <f>J19/(1.1*D19)</f>
        <v>3.4090909090909087</v>
      </c>
      <c r="L19" s="102">
        <f>((F19*G19*0.73*E19^H19)/K19)^(1/I19)</f>
        <v>12.41973079261739</v>
      </c>
      <c r="M19" s="100">
        <v>14.8</v>
      </c>
      <c r="N19" s="103">
        <v>1.43E-05</v>
      </c>
      <c r="O19" s="104">
        <f>0.0354*(E19/(M19*N19))</f>
        <v>52947.482934462925</v>
      </c>
      <c r="P19" s="104">
        <f>O19*(0.01/M19)</f>
        <v>35.77532630706954</v>
      </c>
      <c r="Q19" s="105">
        <f>0.11*((0.01/M19)+(68/O19))^0.25</f>
        <v>0.02314487727564332</v>
      </c>
      <c r="R19" s="106">
        <f>0.07*D19</f>
        <v>56.00000000000001</v>
      </c>
      <c r="S19" s="107">
        <f>D19+R19</f>
        <v>856</v>
      </c>
      <c r="T19" s="106">
        <f>-626.1*Q19*((E19^2)/(M19^5))*0.73*S19</f>
        <v>-1277.8099150494781</v>
      </c>
      <c r="U19" s="105">
        <f>-T19/E19</f>
        <v>4.036699713155271</v>
      </c>
      <c r="V19" s="170"/>
      <c r="W19" s="108">
        <f>-1.1*T19</f>
        <v>1405.590906554426</v>
      </c>
    </row>
    <row r="20" spans="1:23" ht="12.75">
      <c r="A20" s="111"/>
      <c r="B20" s="112"/>
      <c r="C20" s="113"/>
      <c r="D20" s="114"/>
      <c r="E20" s="115"/>
      <c r="F20" s="112"/>
      <c r="G20" s="112"/>
      <c r="H20" s="112"/>
      <c r="I20" s="112"/>
      <c r="J20" s="112"/>
      <c r="K20" s="112"/>
      <c r="L20" s="112"/>
      <c r="M20" s="112"/>
      <c r="N20" s="116"/>
      <c r="O20" s="117"/>
      <c r="P20" s="117"/>
      <c r="Q20" s="118"/>
      <c r="R20" s="119"/>
      <c r="S20" s="120" t="s">
        <v>131</v>
      </c>
      <c r="T20" s="119">
        <f>SUM(T15:T19)</f>
        <v>38.35730661694856</v>
      </c>
      <c r="U20" s="121">
        <f>SUM(U15:U19)</f>
        <v>14.472764748498285</v>
      </c>
      <c r="V20" s="117"/>
      <c r="W20" s="108">
        <f>SUM(W15:W19)</f>
        <v>7297.2140454503315</v>
      </c>
    </row>
    <row r="21" spans="1:23" ht="12.75">
      <c r="A21" s="138" t="str">
        <f>C16</f>
        <v>IV</v>
      </c>
      <c r="B21" s="95" t="s">
        <v>97</v>
      </c>
      <c r="C21" s="122" t="s">
        <v>82</v>
      </c>
      <c r="D21" s="123">
        <f>'Узловой расход'!B9</f>
        <v>200</v>
      </c>
      <c r="E21" s="124">
        <f>'Узловой расход'!G9</f>
        <v>185.7455457234584</v>
      </c>
      <c r="F21" s="100">
        <v>626</v>
      </c>
      <c r="G21" s="100">
        <v>0.022</v>
      </c>
      <c r="H21" s="100">
        <v>2</v>
      </c>
      <c r="I21" s="100">
        <v>5</v>
      </c>
      <c r="J21" s="100">
        <f>J19</f>
        <v>3000</v>
      </c>
      <c r="K21" s="102">
        <f>J21/(1.1*(D21+D22))</f>
        <v>3.305785123966942</v>
      </c>
      <c r="L21" s="102">
        <f>((F21*G21*0.73*E21^H21)/K21)^(1/I21)</f>
        <v>10.09662935749642</v>
      </c>
      <c r="M21" s="100">
        <v>9.8</v>
      </c>
      <c r="N21" s="103">
        <v>1.43E-05</v>
      </c>
      <c r="O21" s="104">
        <f>0.0354*(E21/(M21*N21))</f>
        <v>46920.167822252224</v>
      </c>
      <c r="P21" s="104">
        <f>O21*(0.01/M21)</f>
        <v>47.877722267604305</v>
      </c>
      <c r="Q21" s="105">
        <f>0.11*((0.01/M21)+(68/O21))^0.25</f>
        <v>0.02452182469985969</v>
      </c>
      <c r="R21" s="106">
        <f>0.07*D21</f>
        <v>14.000000000000002</v>
      </c>
      <c r="S21" s="107">
        <f>D21+R21</f>
        <v>214</v>
      </c>
      <c r="T21" s="106">
        <f>626.1*Q21*((E21^2)/(M21^5))*0.73*S21</f>
        <v>915.4603901582163</v>
      </c>
      <c r="U21" s="105">
        <f>T21/E21</f>
        <v>4.9285725081191</v>
      </c>
      <c r="V21" s="140">
        <f>-(T25)/(1.75*U25)</f>
        <v>3.343632798596303</v>
      </c>
      <c r="W21" s="108">
        <f>1.1*T21</f>
        <v>1007.0064291740381</v>
      </c>
    </row>
    <row r="22" spans="1:23" ht="12.75">
      <c r="A22" s="139"/>
      <c r="B22" s="95" t="s">
        <v>98</v>
      </c>
      <c r="C22" s="96" t="s">
        <v>82</v>
      </c>
      <c r="D22" s="100">
        <f>'Узловой расход'!B10</f>
        <v>625</v>
      </c>
      <c r="E22" s="101">
        <f>'Узловой расход'!G10</f>
        <v>99.62039423097383</v>
      </c>
      <c r="F22" s="100">
        <v>626</v>
      </c>
      <c r="G22" s="100">
        <v>0.022</v>
      </c>
      <c r="H22" s="100">
        <v>2</v>
      </c>
      <c r="I22" s="100">
        <v>5</v>
      </c>
      <c r="J22" s="100">
        <f>J21</f>
        <v>3000</v>
      </c>
      <c r="K22" s="102">
        <f>J22/(1.1*(D22))</f>
        <v>4.363636363636363</v>
      </c>
      <c r="L22" s="102">
        <f>((F22*G22*0.73*E22^H22)/K22)^(1/I22)</f>
        <v>7.444466274897744</v>
      </c>
      <c r="M22" s="100">
        <v>8.2</v>
      </c>
      <c r="N22" s="103">
        <v>1.43E-05</v>
      </c>
      <c r="O22" s="104">
        <f>0.0354*(E22/(M22*N22))</f>
        <v>30074.722460996705</v>
      </c>
      <c r="P22" s="104">
        <f>O22*(0.01/M22)</f>
        <v>36.67649080609355</v>
      </c>
      <c r="Q22" s="105">
        <f>0.11*((0.01/M22)+(68/O22))^0.25</f>
        <v>0.026718038222588354</v>
      </c>
      <c r="R22" s="106">
        <f>0.07*D22</f>
        <v>43.75000000000001</v>
      </c>
      <c r="S22" s="107">
        <f>D22+R22</f>
        <v>668.75</v>
      </c>
      <c r="T22" s="106">
        <f>626.1*Q22*((E22^2)/(M22^5))*0.73*S22</f>
        <v>2186.0604944125007</v>
      </c>
      <c r="U22" s="105">
        <f>T22/E22</f>
        <v>21.943905274496636</v>
      </c>
      <c r="V22" s="140"/>
      <c r="W22" s="108">
        <f>1.1*T22</f>
        <v>2404.666543853751</v>
      </c>
    </row>
    <row r="23" spans="1:23" ht="12.75">
      <c r="A23" s="139"/>
      <c r="B23" s="95" t="s">
        <v>102</v>
      </c>
      <c r="C23" s="96" t="s">
        <v>144</v>
      </c>
      <c r="D23" s="100">
        <f>'Узловой расход'!B15</f>
        <v>625</v>
      </c>
      <c r="E23" s="101">
        <f>'Узловой расход'!G15</f>
        <v>351.5726053246087</v>
      </c>
      <c r="F23" s="100">
        <v>626</v>
      </c>
      <c r="G23" s="100">
        <v>0.022</v>
      </c>
      <c r="H23" s="100">
        <v>2</v>
      </c>
      <c r="I23" s="100">
        <v>5</v>
      </c>
      <c r="J23" s="100">
        <f>J22</f>
        <v>3000</v>
      </c>
      <c r="K23" s="102">
        <f>J23/(1.1*(D23+D24))</f>
        <v>3.305785123966942</v>
      </c>
      <c r="L23" s="102">
        <f>((F23*G23*0.73*E23^H23)/K23)^(1/I23)</f>
        <v>13.032119737354035</v>
      </c>
      <c r="M23" s="100">
        <f>M16</f>
        <v>12.2</v>
      </c>
      <c r="N23" s="103">
        <v>1.43E-05</v>
      </c>
      <c r="O23" s="104">
        <f>0.0354*(E23/(M23*N23))</f>
        <v>71338.2450331947</v>
      </c>
      <c r="P23" s="104">
        <f>O23*(0.01/M23)</f>
        <v>58.473971338684194</v>
      </c>
      <c r="Q23" s="105">
        <f>0.11*((0.01/M23)+(68/O23))^0.25</f>
        <v>0.022571601218348135</v>
      </c>
      <c r="R23" s="106">
        <f>0.07*D23</f>
        <v>43.75000000000001</v>
      </c>
      <c r="S23" s="107">
        <f>D23+R23</f>
        <v>668.75</v>
      </c>
      <c r="T23" s="106">
        <f>-626.1*Q23*((E23^2)/(M23^5))*0.73*S23</f>
        <v>-3155.1762849754905</v>
      </c>
      <c r="U23" s="105">
        <f>-T23/E23</f>
        <v>8.974465692690423</v>
      </c>
      <c r="V23" s="140"/>
      <c r="W23" s="108">
        <f>-1.1*T23</f>
        <v>3470.6939134730396</v>
      </c>
    </row>
    <row r="24" spans="1:23" ht="12.75">
      <c r="A24" s="139"/>
      <c r="B24" s="95" t="s">
        <v>133</v>
      </c>
      <c r="C24" s="96" t="s">
        <v>82</v>
      </c>
      <c r="D24" s="100">
        <f>'Узловой расход'!B11</f>
        <v>200</v>
      </c>
      <c r="E24" s="101">
        <f>'Узловой расход'!G11</f>
        <v>31.87852615391163</v>
      </c>
      <c r="F24" s="100">
        <v>626</v>
      </c>
      <c r="G24" s="100">
        <v>0.022</v>
      </c>
      <c r="H24" s="100">
        <v>2</v>
      </c>
      <c r="I24" s="100">
        <v>5</v>
      </c>
      <c r="J24" s="100">
        <f>J23</f>
        <v>3000</v>
      </c>
      <c r="K24" s="102">
        <f>J24/(1.1*(D24))</f>
        <v>13.636363636363635</v>
      </c>
      <c r="L24" s="102">
        <f>((F24*G24*0.73*E24^H24)/K24)^(1/I24)</f>
        <v>3.757712537505471</v>
      </c>
      <c r="M24" s="100">
        <v>7</v>
      </c>
      <c r="N24" s="103">
        <v>1.43E-05</v>
      </c>
      <c r="O24" s="104">
        <f>0.0354*(E24/(M24*N24))</f>
        <v>11273.724533950766</v>
      </c>
      <c r="P24" s="104">
        <f>O24*(0.01/M24)</f>
        <v>16.10532076278681</v>
      </c>
      <c r="Q24" s="105">
        <f>0.11*((0.01/M24)+(68/O24))^0.25</f>
        <v>0.03232821295769552</v>
      </c>
      <c r="R24" s="106">
        <f>0.07*D24</f>
        <v>14.000000000000002</v>
      </c>
      <c r="S24" s="107">
        <f>D24+R24</f>
        <v>214</v>
      </c>
      <c r="T24" s="106">
        <f>-626.1*Q24*((E24^2)/(M24^5))*0.73*S24</f>
        <v>-191.19137837687342</v>
      </c>
      <c r="U24" s="105">
        <f>-T24/E24</f>
        <v>5.997497420482642</v>
      </c>
      <c r="V24" s="140"/>
      <c r="W24" s="108">
        <f>-1.1*T24</f>
        <v>210.31051621456078</v>
      </c>
    </row>
    <row r="25" spans="1:23" ht="12.75">
      <c r="A25" s="125"/>
      <c r="B25" s="125"/>
      <c r="C25" s="125"/>
      <c r="D25" s="125"/>
      <c r="E25" s="126"/>
      <c r="F25" s="125"/>
      <c r="G25" s="125"/>
      <c r="H25" s="125"/>
      <c r="I25" s="125"/>
      <c r="J25" s="125"/>
      <c r="K25" s="125"/>
      <c r="L25" s="125"/>
      <c r="M25" s="125"/>
      <c r="N25" s="127"/>
      <c r="O25" s="125"/>
      <c r="P25" s="125"/>
      <c r="Q25" s="125"/>
      <c r="R25" s="125"/>
      <c r="S25" s="128" t="s">
        <v>131</v>
      </c>
      <c r="T25" s="129">
        <f>SUM(T21:T24)</f>
        <v>-244.84677878164686</v>
      </c>
      <c r="U25" s="130">
        <f>SUM(U21:U24)</f>
        <v>41.84444089578881</v>
      </c>
      <c r="V25" s="125"/>
      <c r="W25" s="131">
        <f>SUM(W21:W24)</f>
        <v>7092.677402715391</v>
      </c>
    </row>
    <row r="26" spans="2:5" ht="12.75">
      <c r="B26" s="171" t="s">
        <v>134</v>
      </c>
      <c r="C26" s="171"/>
      <c r="D26" s="171"/>
      <c r="E26" s="133"/>
    </row>
    <row r="27" spans="2:5" ht="51">
      <c r="B27" s="132" t="s">
        <v>135</v>
      </c>
      <c r="C27" s="132" t="s">
        <v>136</v>
      </c>
      <c r="D27" s="134" t="s">
        <v>137</v>
      </c>
      <c r="E27" s="135"/>
    </row>
    <row r="28" spans="2:5" ht="12.75">
      <c r="B28" s="132">
        <v>32</v>
      </c>
      <c r="C28" s="132">
        <v>2.5</v>
      </c>
      <c r="D28" s="134">
        <f>(B28-C28*2)/10</f>
        <v>2.7</v>
      </c>
      <c r="E28" s="135"/>
    </row>
    <row r="29" spans="2:5" ht="12.75">
      <c r="B29" s="132">
        <v>38</v>
      </c>
      <c r="C29" s="132">
        <v>2.5</v>
      </c>
      <c r="D29" s="134">
        <f aca="true" t="shared" si="0" ref="D29:D40">(B29-C29*2)/10</f>
        <v>3.3</v>
      </c>
      <c r="E29" s="135"/>
    </row>
    <row r="30" spans="2:5" ht="12.75">
      <c r="B30" s="132">
        <v>45</v>
      </c>
      <c r="C30" s="132">
        <v>2.5</v>
      </c>
      <c r="D30" s="134">
        <f t="shared" si="0"/>
        <v>4</v>
      </c>
      <c r="E30" s="135"/>
    </row>
    <row r="31" spans="2:5" ht="12.75">
      <c r="B31" s="132">
        <v>57</v>
      </c>
      <c r="C31" s="132">
        <v>3</v>
      </c>
      <c r="D31" s="134">
        <f t="shared" si="0"/>
        <v>5.1</v>
      </c>
      <c r="E31" s="135"/>
    </row>
    <row r="32" spans="2:5" ht="12.75">
      <c r="B32" s="132">
        <v>76</v>
      </c>
      <c r="C32" s="132">
        <v>3</v>
      </c>
      <c r="D32" s="134">
        <f t="shared" si="0"/>
        <v>7</v>
      </c>
      <c r="E32" s="135"/>
    </row>
    <row r="33" spans="2:5" ht="12.75">
      <c r="B33" s="132">
        <v>89</v>
      </c>
      <c r="C33" s="132">
        <v>3.5</v>
      </c>
      <c r="D33" s="134">
        <f t="shared" si="0"/>
        <v>8.2</v>
      </c>
      <c r="E33" s="135"/>
    </row>
    <row r="34" spans="2:5" ht="12.75">
      <c r="B34" s="132">
        <v>108</v>
      </c>
      <c r="C34" s="132">
        <v>5</v>
      </c>
      <c r="D34" s="134">
        <f t="shared" si="0"/>
        <v>9.8</v>
      </c>
      <c r="E34" s="135"/>
    </row>
    <row r="35" spans="2:5" ht="12.75">
      <c r="B35" s="132">
        <v>133</v>
      </c>
      <c r="C35" s="132">
        <v>5.5</v>
      </c>
      <c r="D35" s="134">
        <f t="shared" si="0"/>
        <v>12.2</v>
      </c>
      <c r="E35" s="135"/>
    </row>
    <row r="36" spans="2:5" ht="12.75">
      <c r="B36" s="132">
        <v>159</v>
      </c>
      <c r="C36" s="132">
        <v>5.5</v>
      </c>
      <c r="D36" s="134">
        <f t="shared" si="0"/>
        <v>14.8</v>
      </c>
      <c r="E36" s="135"/>
    </row>
    <row r="37" spans="2:5" ht="12.75">
      <c r="B37" s="132">
        <v>194</v>
      </c>
      <c r="C37" s="132">
        <v>6</v>
      </c>
      <c r="D37" s="134">
        <f t="shared" si="0"/>
        <v>18.2</v>
      </c>
      <c r="E37" s="135"/>
    </row>
    <row r="38" spans="2:5" ht="12.75">
      <c r="B38" s="132">
        <v>219</v>
      </c>
      <c r="C38" s="132">
        <v>7</v>
      </c>
      <c r="D38" s="134">
        <f t="shared" si="0"/>
        <v>20.5</v>
      </c>
      <c r="E38" s="135"/>
    </row>
    <row r="39" spans="2:4" ht="12.75">
      <c r="B39" s="132">
        <v>273</v>
      </c>
      <c r="C39" s="132">
        <v>9</v>
      </c>
      <c r="D39" s="134">
        <f t="shared" si="0"/>
        <v>25.5</v>
      </c>
    </row>
    <row r="40" spans="2:4" ht="12.75">
      <c r="B40" s="132">
        <v>325</v>
      </c>
      <c r="C40" s="132">
        <v>5</v>
      </c>
      <c r="D40" s="134">
        <f t="shared" si="0"/>
        <v>31.5</v>
      </c>
    </row>
  </sheetData>
  <mergeCells count="10">
    <mergeCell ref="B26:D26"/>
    <mergeCell ref="A15:A19"/>
    <mergeCell ref="V15:V19"/>
    <mergeCell ref="A21:A24"/>
    <mergeCell ref="V21:V24"/>
    <mergeCell ref="A1:W1"/>
    <mergeCell ref="A3:A7"/>
    <mergeCell ref="V3:V7"/>
    <mergeCell ref="A9:A13"/>
    <mergeCell ref="V9:V1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Мишин Артем Владимирович</dc:creator>
  <cp:keywords/>
  <dc:description/>
  <cp:lastModifiedBy>Гром</cp:lastModifiedBy>
  <cp:lastPrinted>2005-12-19T06:41:32Z</cp:lastPrinted>
  <dcterms:created xsi:type="dcterms:W3CDTF">2005-10-24T17:19:54Z</dcterms:created>
  <dcterms:modified xsi:type="dcterms:W3CDTF">2005-12-26T05:07:56Z</dcterms:modified>
  <cp:category/>
  <cp:version/>
  <cp:contentType/>
  <cp:contentStatus/>
</cp:coreProperties>
</file>